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108" windowWidth="9348" windowHeight="4932" tabRatio="855" firstSheet="3" activeTab="21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  <sheet name="2020" sheetId="17" r:id="rId17"/>
    <sheet name="2021" sheetId="18" r:id="rId18"/>
    <sheet name="2022" sheetId="19" r:id="rId19"/>
    <sheet name="2023" sheetId="20" r:id="rId20"/>
    <sheet name="2024" sheetId="21" r:id="rId21"/>
    <sheet name="2025" sheetId="22" r:id="rId22"/>
  </sheets>
  <definedNames>
    <definedName name="_xlnm.Print_Area" localSheetId="12">'2016'!$A$1:$N$75</definedName>
    <definedName name="_xlnm.Print_Area" localSheetId="13">'2017'!$A$1:$N$71</definedName>
  </definedNames>
  <calcPr fullCalcOnLoad="1"/>
</workbook>
</file>

<file path=xl/comments16.xml><?xml version="1.0" encoding="utf-8"?>
<comments xmlns="http://schemas.openxmlformats.org/spreadsheetml/2006/main">
  <authors>
    <author>Bruno Lazzarini</author>
  </authors>
  <commentList>
    <comment ref="I3" authorId="0">
      <text>
        <r>
          <rPr>
            <b/>
            <sz val="9"/>
            <rFont val="Tahoma"/>
            <family val="2"/>
          </rPr>
          <t>rinegoziazione ottobre 2019</t>
        </r>
      </text>
    </comment>
    <comment ref="I36" authorId="0">
      <text>
        <r>
          <rPr>
            <b/>
            <sz val="9"/>
            <rFont val="Tahoma"/>
            <family val="2"/>
          </rPr>
          <t>rinegoziazione ottobre 2019</t>
        </r>
      </text>
    </comment>
  </commentList>
</comments>
</file>

<file path=xl/comments17.xml><?xml version="1.0" encoding="utf-8"?>
<comments xmlns="http://schemas.openxmlformats.org/spreadsheetml/2006/main">
  <authors>
    <author>Bruno Lazzarini</author>
  </authors>
  <commentList>
    <comment ref="H37" authorId="0">
      <text>
        <r>
          <rPr>
            <b/>
            <sz val="9"/>
            <rFont val="Tahoma"/>
            <family val="2"/>
          </rPr>
          <t>quota capitale 2020 spostata al 2024</t>
        </r>
      </text>
    </comment>
    <comment ref="H38" authorId="0">
      <text>
        <r>
          <rPr>
            <b/>
            <sz val="9"/>
            <rFont val="Tahoma"/>
            <family val="2"/>
          </rPr>
          <t>quota capitale spostata al 2022</t>
        </r>
      </text>
    </comment>
    <comment ref="H3" authorId="0">
      <text>
        <r>
          <rPr>
            <b/>
            <sz val="9"/>
            <rFont val="Tahoma"/>
            <family val="2"/>
          </rPr>
          <t>quota capitale spostata al 2024</t>
        </r>
      </text>
    </comment>
    <comment ref="H4" authorId="0">
      <text>
        <r>
          <rPr>
            <b/>
            <sz val="9"/>
            <rFont val="Tahoma"/>
            <family val="2"/>
          </rPr>
          <t>quota capitale spostata al 2022</t>
        </r>
      </text>
    </comment>
  </commentList>
</comments>
</file>

<file path=xl/sharedStrings.xml><?xml version="1.0" encoding="utf-8"?>
<sst xmlns="http://schemas.openxmlformats.org/spreadsheetml/2006/main" count="2872" uniqueCount="213">
  <si>
    <t>Posizione mutuo</t>
  </si>
  <si>
    <t>Istituto mutuante</t>
  </si>
  <si>
    <t>Finalità mutuo</t>
  </si>
  <si>
    <t>Tasso di ammort.</t>
  </si>
  <si>
    <t>Inizio ammortam.</t>
  </si>
  <si>
    <t>Termine ammort.</t>
  </si>
  <si>
    <t>Capitolo PEG</t>
  </si>
  <si>
    <t>CASSA DD.PP.</t>
  </si>
  <si>
    <t>TOTALI</t>
  </si>
  <si>
    <t>Importo iniziale mutuo</t>
  </si>
  <si>
    <t>Quota capitale residua ante rata 2004</t>
  </si>
  <si>
    <t>Totale rata 2004</t>
  </si>
  <si>
    <t>Quota capitale anno 2004</t>
  </si>
  <si>
    <t>Quota interessi anno 2004</t>
  </si>
  <si>
    <t>Quota capitale residua post rata 2004</t>
  </si>
  <si>
    <t>municipio</t>
  </si>
  <si>
    <t>4363580/01</t>
  </si>
  <si>
    <t>4317939/01</t>
  </si>
  <si>
    <t>immobili comunali</t>
  </si>
  <si>
    <t>IST.REG.VILLE V.</t>
  </si>
  <si>
    <t>CASSA DDPP</t>
  </si>
  <si>
    <t>scuola elementare</t>
  </si>
  <si>
    <t>scuola media</t>
  </si>
  <si>
    <t>4338568/01</t>
  </si>
  <si>
    <t>scuole varie</t>
  </si>
  <si>
    <t>opere varie scuole</t>
  </si>
  <si>
    <t>IST.CREDITO SPORT.</t>
  </si>
  <si>
    <t>impianti sportivi</t>
  </si>
  <si>
    <t>4364549/01</t>
  </si>
  <si>
    <t>strade</t>
  </si>
  <si>
    <t>3078427/01</t>
  </si>
  <si>
    <t>658595/01</t>
  </si>
  <si>
    <t>4317937/01</t>
  </si>
  <si>
    <t>fognatura</t>
  </si>
  <si>
    <t>4297902/01</t>
  </si>
  <si>
    <t>4142025/01</t>
  </si>
  <si>
    <t>3020984/01</t>
  </si>
  <si>
    <t>654399/02</t>
  </si>
  <si>
    <t>cimitero</t>
  </si>
  <si>
    <t>Illuminazione pubblica</t>
  </si>
  <si>
    <t>INPDAP</t>
  </si>
  <si>
    <t>mettanizzazione</t>
  </si>
  <si>
    <t xml:space="preserve"> </t>
  </si>
  <si>
    <t>totali</t>
  </si>
  <si>
    <t>Quota capitale residua ante rata 2005</t>
  </si>
  <si>
    <t>Totale rata 2005</t>
  </si>
  <si>
    <t>Quota capitale anno 2005</t>
  </si>
  <si>
    <t>Quota capitale residua ante rata 2006</t>
  </si>
  <si>
    <t>Totale rata 2006</t>
  </si>
  <si>
    <t>Quota capitale anno 2006</t>
  </si>
  <si>
    <t>Quota capitale anno 2007</t>
  </si>
  <si>
    <t>Quota capitale residua ante rata 2007</t>
  </si>
  <si>
    <t>Totale rata 2007</t>
  </si>
  <si>
    <t>Quota interessi anno 2007</t>
  </si>
  <si>
    <t>RATE AMMORTAMENTO MUTUI ANNO 2007</t>
  </si>
  <si>
    <t>Quota interessi anno 2006</t>
  </si>
  <si>
    <t>Quota interessi anno 2005</t>
  </si>
  <si>
    <t>Quota capitale residua post rata 2005</t>
  </si>
  <si>
    <t>Quota capitale residua post rata 2006</t>
  </si>
  <si>
    <t>RATE AMMORTAMENTO MUTUI ANNO 2005</t>
  </si>
  <si>
    <t>RATE AMMORTAMENTO MUTUI ANNO 2006</t>
  </si>
  <si>
    <t>metanizzazione</t>
  </si>
  <si>
    <t>DAL 2006</t>
  </si>
  <si>
    <t>RATE AMMORTAMENTO MUTUI ANNO 2008</t>
  </si>
  <si>
    <t>Quota capitale residua ante rata 2008</t>
  </si>
  <si>
    <t>Totale rata 2008</t>
  </si>
  <si>
    <t>Quota capitale anno 2008</t>
  </si>
  <si>
    <t>Quota interessi anno 2008</t>
  </si>
  <si>
    <t>Quota capitale residua post rata 2008</t>
  </si>
  <si>
    <t>Quota capitale residua post rata 2007</t>
  </si>
  <si>
    <t>marciapiede zona peep</t>
  </si>
  <si>
    <t>sist.esterne municipio</t>
  </si>
  <si>
    <t>municipo (sist.esterne)</t>
  </si>
  <si>
    <t>strade (marc.peep)</t>
  </si>
  <si>
    <t>NUOVO</t>
  </si>
  <si>
    <t>sist.esterne munic.</t>
  </si>
  <si>
    <t>4484273/00</t>
  </si>
  <si>
    <t>4486307/00</t>
  </si>
  <si>
    <t>Pista ciclabile intercomunale</t>
  </si>
  <si>
    <t>RATE AMMORTAMENTO MUTUI ANNO 2009</t>
  </si>
  <si>
    <t>Quota capitale residua ante rata 2009</t>
  </si>
  <si>
    <t>Totale rata 2009</t>
  </si>
  <si>
    <t>Quota capitale anno 2009</t>
  </si>
  <si>
    <t>Quota interessi anno 2009</t>
  </si>
  <si>
    <t>Quota capitale residua post rata 2009</t>
  </si>
  <si>
    <t xml:space="preserve">cimitero capoluogo </t>
  </si>
  <si>
    <t>RATE AMMORTAMENTO MUTUI ANNO 2010</t>
  </si>
  <si>
    <t>Quota capitale residua ante rata 2010</t>
  </si>
  <si>
    <t>Quota capitale residua post rata 2010</t>
  </si>
  <si>
    <t>Quota interessi anno 2010</t>
  </si>
  <si>
    <t>Quota capitale anno 2010</t>
  </si>
  <si>
    <t>Totale rata 2010</t>
  </si>
  <si>
    <t>restauro sede municipale</t>
  </si>
  <si>
    <t>adeguamenti impianti PIRUEA</t>
  </si>
  <si>
    <t>4523367/00</t>
  </si>
  <si>
    <t>Quota capitale residua ante rata 2011</t>
  </si>
  <si>
    <t>Totale rata 2011</t>
  </si>
  <si>
    <t>Quota capitale anno 2011</t>
  </si>
  <si>
    <t>Quota interessi anno 2011</t>
  </si>
  <si>
    <t>Quota capitale residua post rata 2011</t>
  </si>
  <si>
    <t>interventi per risparmio energetico pubblica illuminazione</t>
  </si>
  <si>
    <t>RATE AMMORTAMENTO MUTUI ANNO 2011</t>
  </si>
  <si>
    <t>4523369/00</t>
  </si>
  <si>
    <t>4533795/00</t>
  </si>
  <si>
    <t>4538713/00</t>
  </si>
  <si>
    <t>4538857/00</t>
  </si>
  <si>
    <t>percorsi pedonali protetti stralcio B</t>
  </si>
  <si>
    <t>Percorsi pedonali protetti stralcio B</t>
  </si>
  <si>
    <t>percorsi pedonali protetti stralcio A</t>
  </si>
  <si>
    <t>Sistemazione viabilità 2° Stralcio da Casa Bellan a Municipio</t>
  </si>
  <si>
    <t>apliamento scuola media</t>
  </si>
  <si>
    <t>RATE AMMORTAMENTO MUTUI ANNO 2012</t>
  </si>
  <si>
    <t>Quota capitale residua ante rata 2012</t>
  </si>
  <si>
    <t>Totale rata 2012</t>
  </si>
  <si>
    <t>Quota capitale anno 2012</t>
  </si>
  <si>
    <t>Quota interessi anno 2012</t>
  </si>
  <si>
    <t>Quota capitale residua post rata 2012</t>
  </si>
  <si>
    <t>4541845/00</t>
  </si>
  <si>
    <t>RATE AMMORTAMENTO MUTUI ANNO 2013</t>
  </si>
  <si>
    <t>Totale rata 2013</t>
  </si>
  <si>
    <t>Quota capitale anno 2013</t>
  </si>
  <si>
    <t>Quota interessi anno 2013</t>
  </si>
  <si>
    <t>Quota capitale residua post rata 2013</t>
  </si>
  <si>
    <t>Quota capitale residua ante rata 2013</t>
  </si>
  <si>
    <t>Totale rata 2014</t>
  </si>
  <si>
    <t>Quota capitale anno 2014</t>
  </si>
  <si>
    <t>Quota capitale residua post rata 2014</t>
  </si>
  <si>
    <t>Quota interessi anno 2014</t>
  </si>
  <si>
    <t>Quota capitale residua ante rata 2014</t>
  </si>
  <si>
    <t>RATE AMMORTAMENTO MUTUI ANNO 2015</t>
  </si>
  <si>
    <t>Quota capitale residua ante rata 2015</t>
  </si>
  <si>
    <t>Totale rata 2015</t>
  </si>
  <si>
    <t>Quota capitale anno 2015</t>
  </si>
  <si>
    <t>Quota interessi anno 2015</t>
  </si>
  <si>
    <t>Quota capitale residua post rata 2015</t>
  </si>
  <si>
    <t>RATE AMMORTAMENTO MUTUI ANNO 2016</t>
  </si>
  <si>
    <t>RATE AMMORTAMENTO MUTUI ANNO 2014</t>
  </si>
  <si>
    <t>Quota capitale anno 2016</t>
  </si>
  <si>
    <t>Quota capitale residua post rata 2016</t>
  </si>
  <si>
    <t>Quota interessi anno 2016</t>
  </si>
  <si>
    <t>RATE AMMORTAMENTO MUTUI ANNO 2017</t>
  </si>
  <si>
    <t>Quota capitale residua ante rata 2017</t>
  </si>
  <si>
    <t>Totale rata 2017</t>
  </si>
  <si>
    <t>Quota capitale anno 2017</t>
  </si>
  <si>
    <t>Quota interessi anno 2017</t>
  </si>
  <si>
    <t>Quota capitale residua post rata 2017</t>
  </si>
  <si>
    <t>RATE AMMORTAMENTO MUTUI ANNO 2018</t>
  </si>
  <si>
    <t>Quota capitale residua ante rata 2018</t>
  </si>
  <si>
    <t>Totale rata 2018</t>
  </si>
  <si>
    <t>Quota capitale anno 2018</t>
  </si>
  <si>
    <t>Quota interessi anno 2018</t>
  </si>
  <si>
    <t>Quota capitale residua post rata 2018</t>
  </si>
  <si>
    <t>RATE AMMORTAMENTO MUTUI ANNO 2019</t>
  </si>
  <si>
    <t>Quota capitale residua ante rata 2019</t>
  </si>
  <si>
    <t>Totale rata 2019</t>
  </si>
  <si>
    <t>Quota capitale anno 2019</t>
  </si>
  <si>
    <t>Quota interessi anno 2019</t>
  </si>
  <si>
    <t>Quota capitale residua post rata 2019</t>
  </si>
  <si>
    <t>RATE AMMORTAMENTO MUTUI ANNO 2020</t>
  </si>
  <si>
    <t>Quota capitale residua ante rata 2020</t>
  </si>
  <si>
    <t>Totale rata 2020</t>
  </si>
  <si>
    <t>Quota interessi anno 2020</t>
  </si>
  <si>
    <t>Quota capitale residua post rata 2020</t>
  </si>
  <si>
    <t>Quota capitale anno 2020</t>
  </si>
  <si>
    <t>ampliamento scuola media</t>
  </si>
  <si>
    <t>Quota capitale residua ante rata 2016</t>
  </si>
  <si>
    <t>Totale rata 2016</t>
  </si>
  <si>
    <t>RATE AMMORTAMENTO MUTUI ANNO 2021</t>
  </si>
  <si>
    <t>Quota capitale residua ante rata 2021</t>
  </si>
  <si>
    <t>Totale rata 2021</t>
  </si>
  <si>
    <t>Quota capitale anno 2021</t>
  </si>
  <si>
    <t>Quota interessi anno 2021</t>
  </si>
  <si>
    <t>Quota capitale residua post rata 2021</t>
  </si>
  <si>
    <t>Adeguamento viabilità e parcheggi Vie Cattaneo, Julia, 2Giugno - 2° stralcio</t>
  </si>
  <si>
    <t>RATE AMMORTAMENTO MUTUI ANNO 2022</t>
  </si>
  <si>
    <t>Quota capitale residua ante rata 2022</t>
  </si>
  <si>
    <t>Totale rata 2022</t>
  </si>
  <si>
    <t>Quota capitale anno 2022</t>
  </si>
  <si>
    <t>Quota interessi anno 2022</t>
  </si>
  <si>
    <t>Quota capitale residua post rata 2022</t>
  </si>
  <si>
    <t>Realizzazione pista ciclabile Via Borgo - 2° Stralcio - tratto Cecchetto--Feriani</t>
  </si>
  <si>
    <t>MEF</t>
  </si>
  <si>
    <t>RATE AMMORTAMENTO MUTUI ANNO 2023</t>
  </si>
  <si>
    <t>Quota capitale residua ante rata 2023</t>
  </si>
  <si>
    <t>Totale rata 2023</t>
  </si>
  <si>
    <t>Quota capitale anno 2023</t>
  </si>
  <si>
    <t>Quota interessi anno 2023</t>
  </si>
  <si>
    <t>Quota capitale residua post rata 2023</t>
  </si>
  <si>
    <t>CDP</t>
  </si>
  <si>
    <t>RATE AMMORTAMENTO MUTUI ANNO 2024</t>
  </si>
  <si>
    <t>Quota capitale residua ante rata 2024</t>
  </si>
  <si>
    <t>Totale rata 2024</t>
  </si>
  <si>
    <t>Quota capitale anno 2024</t>
  </si>
  <si>
    <t>Quota interessi anno 2024</t>
  </si>
  <si>
    <t>Quota capitale residua post rata 2024</t>
  </si>
  <si>
    <t>Costruzione nuova scuola primaria "A.Fogazzaro"</t>
  </si>
  <si>
    <t>6202807/00</t>
  </si>
  <si>
    <t>4555239/00</t>
  </si>
  <si>
    <t>4555218/00</t>
  </si>
  <si>
    <t>4550239/00</t>
  </si>
  <si>
    <t>4478664/00</t>
  </si>
  <si>
    <t>4464738/00</t>
  </si>
  <si>
    <t>4444717/00</t>
  </si>
  <si>
    <t>4425594/00</t>
  </si>
  <si>
    <t>IST.CRED.SPORT.</t>
  </si>
  <si>
    <t>riqualificazione impianti sportivi Via Divisione Julia</t>
  </si>
  <si>
    <t>RATE AMMORTAMENTO MUTUI ANNO 2025</t>
  </si>
  <si>
    <t>Quota capitale residua ante rata 2025</t>
  </si>
  <si>
    <t>Totale rata 2025</t>
  </si>
  <si>
    <t>Quota capitale anno 2025</t>
  </si>
  <si>
    <t>Quota interessi anno 2025</t>
  </si>
  <si>
    <t>Quota capitale residua post rata 2025</t>
  </si>
  <si>
    <t>I.C.S.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</si>
</sst>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d\ mmmm\ yyyy"/>
    <numFmt numFmtId="182" formatCode="0.000%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39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8"/>
      <color indexed="11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4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DEE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4" fillId="0" borderId="10" xfId="44" applyNumberFormat="1" applyFont="1" applyFill="1" applyBorder="1" applyAlignment="1">
      <alignment horizontal="right"/>
    </xf>
    <xf numFmtId="180" fontId="4" fillId="0" borderId="10" xfId="44" applyNumberFormat="1" applyFont="1" applyFill="1" applyBorder="1" applyAlignment="1">
      <alignment/>
    </xf>
    <xf numFmtId="180" fontId="4" fillId="0" borderId="10" xfId="44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80" fontId="4" fillId="0" borderId="18" xfId="44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80" fontId="5" fillId="0" borderId="21" xfId="44" applyNumberFormat="1" applyFont="1" applyFill="1" applyBorder="1" applyAlignment="1">
      <alignment horizontal="right"/>
    </xf>
    <xf numFmtId="180" fontId="5" fillId="0" borderId="21" xfId="44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0" fontId="4" fillId="0" borderId="0" xfId="44" applyNumberFormat="1" applyFont="1" applyFill="1" applyBorder="1" applyAlignment="1">
      <alignment horizontal="right"/>
    </xf>
    <xf numFmtId="180" fontId="4" fillId="0" borderId="0" xfId="44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0" fontId="5" fillId="0" borderId="0" xfId="44" applyNumberFormat="1" applyFont="1" applyFill="1" applyBorder="1" applyAlignment="1">
      <alignment/>
    </xf>
    <xf numFmtId="180" fontId="5" fillId="0" borderId="10" xfId="44" applyNumberFormat="1" applyFont="1" applyFill="1" applyBorder="1" applyAlignment="1">
      <alignment horizontal="center"/>
    </xf>
    <xf numFmtId="180" fontId="5" fillId="0" borderId="10" xfId="44" applyNumberFormat="1" applyFont="1" applyFill="1" applyBorder="1" applyAlignment="1">
      <alignment/>
    </xf>
    <xf numFmtId="180" fontId="5" fillId="0" borderId="18" xfId="44" applyNumberFormat="1" applyFont="1" applyFill="1" applyBorder="1" applyAlignment="1">
      <alignment/>
    </xf>
    <xf numFmtId="180" fontId="4" fillId="0" borderId="23" xfId="44" applyNumberFormat="1" applyFont="1" applyFill="1" applyBorder="1" applyAlignment="1">
      <alignment/>
    </xf>
    <xf numFmtId="180" fontId="4" fillId="0" borderId="24" xfId="44" applyNumberFormat="1" applyFont="1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0" fontId="4" fillId="0" borderId="18" xfId="44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80" fontId="4" fillId="0" borderId="18" xfId="44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/>
    </xf>
    <xf numFmtId="180" fontId="4" fillId="0" borderId="28" xfId="0" applyNumberFormat="1" applyFont="1" applyFill="1" applyBorder="1" applyAlignment="1">
      <alignment/>
    </xf>
    <xf numFmtId="180" fontId="5" fillId="0" borderId="29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180" fontId="5" fillId="0" borderId="0" xfId="44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180" fontId="4" fillId="0" borderId="33" xfId="44" applyNumberFormat="1" applyFont="1" applyFill="1" applyBorder="1" applyAlignment="1">
      <alignment horizontal="right"/>
    </xf>
    <xf numFmtId="180" fontId="4" fillId="0" borderId="33" xfId="44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80" fontId="4" fillId="0" borderId="33" xfId="44" applyNumberFormat="1" applyFont="1" applyFill="1" applyBorder="1" applyAlignment="1">
      <alignment horizontal="center"/>
    </xf>
    <xf numFmtId="180" fontId="4" fillId="0" borderId="34" xfId="44" applyNumberFormat="1" applyFont="1" applyFill="1" applyBorder="1" applyAlignment="1">
      <alignment/>
    </xf>
    <xf numFmtId="180" fontId="4" fillId="0" borderId="29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180" fontId="5" fillId="0" borderId="25" xfId="0" applyNumberFormat="1" applyFont="1" applyFill="1" applyBorder="1" applyAlignment="1">
      <alignment/>
    </xf>
    <xf numFmtId="180" fontId="5" fillId="0" borderId="17" xfId="44" applyNumberFormat="1" applyFont="1" applyFill="1" applyBorder="1" applyAlignment="1">
      <alignment/>
    </xf>
    <xf numFmtId="180" fontId="5" fillId="0" borderId="35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80" fontId="4" fillId="0" borderId="22" xfId="44" applyNumberFormat="1" applyFont="1" applyFill="1" applyBorder="1" applyAlignment="1">
      <alignment horizontal="right"/>
    </xf>
    <xf numFmtId="180" fontId="4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87" fontId="4" fillId="0" borderId="22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80" fontId="4" fillId="0" borderId="22" xfId="44" applyNumberFormat="1" applyFont="1" applyFill="1" applyBorder="1" applyAlignment="1">
      <alignment horizontal="center"/>
    </xf>
    <xf numFmtId="180" fontId="4" fillId="0" borderId="22" xfId="44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80" fontId="4" fillId="0" borderId="29" xfId="44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80" fontId="4" fillId="0" borderId="29" xfId="44" applyNumberFormat="1" applyFont="1" applyFill="1" applyBorder="1" applyAlignment="1">
      <alignment horizontal="center"/>
    </xf>
    <xf numFmtId="180" fontId="4" fillId="0" borderId="36" xfId="44" applyNumberFormat="1" applyFont="1" applyFill="1" applyBorder="1" applyAlignment="1">
      <alignment/>
    </xf>
    <xf numFmtId="180" fontId="4" fillId="0" borderId="37" xfId="44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80" fontId="4" fillId="0" borderId="38" xfId="44" applyNumberFormat="1" applyFont="1" applyFill="1" applyBorder="1" applyAlignment="1">
      <alignment horizontal="right"/>
    </xf>
    <xf numFmtId="180" fontId="5" fillId="0" borderId="38" xfId="44" applyNumberFormat="1" applyFont="1" applyFill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80" fontId="5" fillId="0" borderId="38" xfId="44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80" fontId="5" fillId="0" borderId="39" xfId="44" applyNumberFormat="1" applyFon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180" fontId="4" fillId="0" borderId="40" xfId="44" applyNumberFormat="1" applyFont="1" applyFill="1" applyBorder="1" applyAlignment="1">
      <alignment/>
    </xf>
    <xf numFmtId="180" fontId="4" fillId="0" borderId="29" xfId="44" applyNumberFormat="1" applyFont="1" applyFill="1" applyBorder="1" applyAlignment="1">
      <alignment/>
    </xf>
    <xf numFmtId="180" fontId="4" fillId="0" borderId="38" xfId="44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80" fontId="4" fillId="0" borderId="41" xfId="44" applyNumberFormat="1" applyFont="1" applyFill="1" applyBorder="1" applyAlignment="1">
      <alignment horizontal="right"/>
    </xf>
    <xf numFmtId="180" fontId="4" fillId="0" borderId="31" xfId="0" applyNumberFormat="1" applyFont="1" applyFill="1" applyBorder="1" applyAlignment="1">
      <alignment/>
    </xf>
    <xf numFmtId="2" fontId="4" fillId="0" borderId="41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80" fontId="4" fillId="0" borderId="41" xfId="44" applyNumberFormat="1" applyFont="1" applyFill="1" applyBorder="1" applyAlignment="1">
      <alignment horizontal="center"/>
    </xf>
    <xf numFmtId="180" fontId="4" fillId="0" borderId="42" xfId="44" applyNumberFormat="1" applyFont="1" applyFill="1" applyBorder="1" applyAlignment="1">
      <alignment/>
    </xf>
    <xf numFmtId="180" fontId="4" fillId="0" borderId="31" xfId="44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180" fontId="4" fillId="0" borderId="31" xfId="44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80" fontId="4" fillId="0" borderId="31" xfId="44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80" fontId="4" fillId="0" borderId="41" xfId="44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180" fontId="5" fillId="0" borderId="46" xfId="44" applyNumberFormat="1" applyFont="1" applyFill="1" applyBorder="1" applyAlignment="1">
      <alignment horizontal="right"/>
    </xf>
    <xf numFmtId="180" fontId="5" fillId="0" borderId="46" xfId="44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180" fontId="5" fillId="0" borderId="46" xfId="0" applyNumberFormat="1" applyFont="1" applyFill="1" applyBorder="1" applyAlignment="1">
      <alignment/>
    </xf>
    <xf numFmtId="0" fontId="5" fillId="0" borderId="46" xfId="0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0" fontId="4" fillId="0" borderId="51" xfId="0" applyFont="1" applyFill="1" applyBorder="1" applyAlignment="1">
      <alignment horizontal="right"/>
    </xf>
    <xf numFmtId="0" fontId="4" fillId="0" borderId="53" xfId="0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0" fontId="4" fillId="0" borderId="55" xfId="0" applyFont="1" applyFill="1" applyBorder="1" applyAlignment="1">
      <alignment/>
    </xf>
    <xf numFmtId="180" fontId="5" fillId="0" borderId="56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180" fontId="4" fillId="0" borderId="58" xfId="0" applyNumberFormat="1" applyFont="1" applyFill="1" applyBorder="1" applyAlignment="1">
      <alignment/>
    </xf>
    <xf numFmtId="0" fontId="4" fillId="0" borderId="59" xfId="0" applyFont="1" applyFill="1" applyBorder="1" applyAlignment="1">
      <alignment horizontal="right"/>
    </xf>
    <xf numFmtId="180" fontId="4" fillId="0" borderId="60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180" fontId="4" fillId="0" borderId="63" xfId="44" applyNumberFormat="1" applyFont="1" applyFill="1" applyBorder="1" applyAlignment="1">
      <alignment/>
    </xf>
    <xf numFmtId="1" fontId="5" fillId="0" borderId="22" xfId="0" applyNumberFormat="1" applyFont="1" applyFill="1" applyBorder="1" applyAlignment="1">
      <alignment horizontal="center"/>
    </xf>
    <xf numFmtId="180" fontId="5" fillId="0" borderId="64" xfId="44" applyNumberFormat="1" applyFont="1" applyFill="1" applyBorder="1" applyAlignment="1">
      <alignment horizontal="center"/>
    </xf>
    <xf numFmtId="180" fontId="5" fillId="0" borderId="65" xfId="44" applyNumberFormat="1" applyFont="1" applyFill="1" applyBorder="1" applyAlignment="1">
      <alignment/>
    </xf>
    <xf numFmtId="1" fontId="5" fillId="0" borderId="66" xfId="0" applyNumberFormat="1" applyFont="1" applyFill="1" applyBorder="1" applyAlignment="1">
      <alignment horizontal="center"/>
    </xf>
    <xf numFmtId="180" fontId="5" fillId="0" borderId="67" xfId="44" applyNumberFormat="1" applyFont="1" applyFill="1" applyBorder="1" applyAlignment="1">
      <alignment/>
    </xf>
    <xf numFmtId="180" fontId="5" fillId="0" borderId="67" xfId="44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vertical="center" wrapText="1"/>
    </xf>
    <xf numFmtId="180" fontId="4" fillId="0" borderId="69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180" fontId="4" fillId="0" borderId="71" xfId="0" applyNumberFormat="1" applyFont="1" applyFill="1" applyBorder="1" applyAlignment="1">
      <alignment/>
    </xf>
    <xf numFmtId="180" fontId="4" fillId="0" borderId="72" xfId="0" applyNumberFormat="1" applyFont="1" applyFill="1" applyBorder="1" applyAlignment="1">
      <alignment/>
    </xf>
    <xf numFmtId="180" fontId="5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5" fillId="0" borderId="75" xfId="0" applyNumberFormat="1" applyFont="1" applyFill="1" applyBorder="1" applyAlignment="1">
      <alignment/>
    </xf>
    <xf numFmtId="0" fontId="8" fillId="0" borderId="53" xfId="0" applyFont="1" applyFill="1" applyBorder="1" applyAlignment="1">
      <alignment horizontal="center"/>
    </xf>
    <xf numFmtId="180" fontId="4" fillId="0" borderId="76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180" fontId="4" fillId="0" borderId="12" xfId="44" applyNumberFormat="1" applyFont="1" applyFill="1" applyBorder="1" applyAlignment="1">
      <alignment horizontal="right"/>
    </xf>
    <xf numFmtId="180" fontId="4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77" xfId="0" applyNumberFormat="1" applyFont="1" applyFill="1" applyBorder="1" applyAlignment="1">
      <alignment horizontal="center"/>
    </xf>
    <xf numFmtId="180" fontId="5" fillId="0" borderId="39" xfId="44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7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80" fontId="9" fillId="0" borderId="22" xfId="44" applyNumberFormat="1" applyFont="1" applyFill="1" applyBorder="1" applyAlignment="1">
      <alignment horizontal="right"/>
    </xf>
    <xf numFmtId="180" fontId="9" fillId="0" borderId="22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80" fontId="9" fillId="0" borderId="22" xfId="44" applyNumberFormat="1" applyFont="1" applyFill="1" applyBorder="1" applyAlignment="1">
      <alignment horizontal="center"/>
    </xf>
    <xf numFmtId="180" fontId="9" fillId="0" borderId="22" xfId="44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80" fontId="9" fillId="0" borderId="5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180" fontId="8" fillId="0" borderId="22" xfId="44" applyNumberFormat="1" applyFont="1" applyFill="1" applyBorder="1" applyAlignment="1">
      <alignment horizontal="right"/>
    </xf>
    <xf numFmtId="180" fontId="8" fillId="0" borderId="27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 horizontal="center"/>
    </xf>
    <xf numFmtId="180" fontId="8" fillId="0" borderId="22" xfId="44" applyNumberFormat="1" applyFont="1" applyFill="1" applyBorder="1" applyAlignment="1">
      <alignment horizontal="center"/>
    </xf>
    <xf numFmtId="180" fontId="8" fillId="0" borderId="22" xfId="44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80" fontId="8" fillId="0" borderId="5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0" fontId="8" fillId="0" borderId="22" xfId="0" applyNumberFormat="1" applyFont="1" applyFill="1" applyBorder="1" applyAlignment="1">
      <alignment/>
    </xf>
    <xf numFmtId="180" fontId="8" fillId="0" borderId="60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6" fillId="34" borderId="53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80" fontId="4" fillId="34" borderId="22" xfId="44" applyNumberFormat="1" applyFont="1" applyFill="1" applyBorder="1" applyAlignment="1">
      <alignment horizontal="right"/>
    </xf>
    <xf numFmtId="180" fontId="4" fillId="34" borderId="22" xfId="0" applyNumberFormat="1" applyFont="1" applyFill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1" fontId="4" fillId="34" borderId="22" xfId="0" applyNumberFormat="1" applyFont="1" applyFill="1" applyBorder="1" applyAlignment="1">
      <alignment horizontal="center"/>
    </xf>
    <xf numFmtId="180" fontId="4" fillId="34" borderId="22" xfId="44" applyNumberFormat="1" applyFont="1" applyFill="1" applyBorder="1" applyAlignment="1">
      <alignment horizontal="center"/>
    </xf>
    <xf numFmtId="180" fontId="4" fillId="34" borderId="22" xfId="44" applyNumberFormat="1" applyFont="1" applyFill="1" applyBorder="1" applyAlignment="1">
      <alignment/>
    </xf>
    <xf numFmtId="180" fontId="4" fillId="34" borderId="54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53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7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80" fontId="8" fillId="0" borderId="63" xfId="44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180" fontId="8" fillId="0" borderId="40" xfId="44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 vertical="center"/>
    </xf>
    <xf numFmtId="180" fontId="8" fillId="0" borderId="72" xfId="0" applyNumberFormat="1" applyFont="1" applyFill="1" applyBorder="1" applyAlignment="1">
      <alignment/>
    </xf>
    <xf numFmtId="1" fontId="7" fillId="35" borderId="22" xfId="0" applyNumberFormat="1" applyFont="1" applyFill="1" applyBorder="1" applyAlignment="1">
      <alignment horizontal="center"/>
    </xf>
    <xf numFmtId="180" fontId="4" fillId="0" borderId="20" xfId="44" applyNumberFormat="1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180" fontId="12" fillId="0" borderId="40" xfId="44" applyNumberFormat="1" applyFont="1" applyFill="1" applyBorder="1" applyAlignment="1">
      <alignment/>
    </xf>
    <xf numFmtId="0" fontId="12" fillId="0" borderId="31" xfId="0" applyFont="1" applyFill="1" applyBorder="1" applyAlignment="1">
      <alignment horizontal="center" vertical="center"/>
    </xf>
    <xf numFmtId="180" fontId="12" fillId="0" borderId="5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53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180" fontId="12" fillId="0" borderId="22" xfId="44" applyNumberFormat="1" applyFont="1" applyFill="1" applyBorder="1" applyAlignment="1">
      <alignment horizontal="right"/>
    </xf>
    <xf numFmtId="180" fontId="12" fillId="0" borderId="28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80" fontId="12" fillId="0" borderId="22" xfId="44" applyNumberFormat="1" applyFont="1" applyFill="1" applyBorder="1" applyAlignment="1">
      <alignment horizontal="center"/>
    </xf>
    <xf numFmtId="180" fontId="12" fillId="0" borderId="63" xfId="44" applyNumberFormat="1" applyFont="1" applyFill="1" applyBorder="1" applyAlignment="1">
      <alignment/>
    </xf>
    <xf numFmtId="0" fontId="12" fillId="0" borderId="22" xfId="0" applyFont="1" applyFill="1" applyBorder="1" applyAlignment="1">
      <alignment wrapText="1"/>
    </xf>
    <xf numFmtId="180" fontId="12" fillId="0" borderId="18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18" xfId="0" applyFont="1" applyFill="1" applyBorder="1" applyAlignment="1">
      <alignment wrapText="1"/>
    </xf>
    <xf numFmtId="1" fontId="17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180" fontId="12" fillId="0" borderId="18" xfId="44" applyNumberFormat="1" applyFont="1" applyFill="1" applyBorder="1" applyAlignment="1">
      <alignment horizontal="right"/>
    </xf>
    <xf numFmtId="2" fontId="12" fillId="0" borderId="18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80" fontId="12" fillId="0" borderId="18" xfId="44" applyNumberFormat="1" applyFont="1" applyFill="1" applyBorder="1" applyAlignment="1">
      <alignment horizontal="center"/>
    </xf>
    <xf numFmtId="180" fontId="12" fillId="0" borderId="18" xfId="44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0" fontId="14" fillId="0" borderId="22" xfId="44" applyNumberFormat="1" applyFont="1" applyFill="1" applyBorder="1" applyAlignment="1">
      <alignment horizontal="right"/>
    </xf>
    <xf numFmtId="180" fontId="14" fillId="0" borderId="27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 horizontal="center"/>
    </xf>
    <xf numFmtId="1" fontId="17" fillId="0" borderId="22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180" fontId="14" fillId="0" borderId="22" xfId="44" applyNumberFormat="1" applyFont="1" applyFill="1" applyBorder="1" applyAlignment="1">
      <alignment horizontal="center"/>
    </xf>
    <xf numFmtId="180" fontId="14" fillId="0" borderId="22" xfId="44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80" fontId="14" fillId="0" borderId="52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4" fillId="0" borderId="7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80" fontId="4" fillId="0" borderId="20" xfId="44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0" fontId="5" fillId="0" borderId="20" xfId="44" applyNumberFormat="1" applyFont="1" applyFill="1" applyBorder="1" applyAlignment="1">
      <alignment horizontal="center"/>
    </xf>
    <xf numFmtId="180" fontId="5" fillId="0" borderId="20" xfId="44" applyNumberFormat="1" applyFont="1" applyFill="1" applyBorder="1" applyAlignment="1">
      <alignment/>
    </xf>
    <xf numFmtId="0" fontId="4" fillId="0" borderId="80" xfId="0" applyFont="1" applyFill="1" applyBorder="1" applyAlignment="1">
      <alignment horizontal="center"/>
    </xf>
    <xf numFmtId="180" fontId="5" fillId="0" borderId="80" xfId="44" applyNumberFormat="1" applyFont="1" applyFill="1" applyBorder="1" applyAlignment="1">
      <alignment/>
    </xf>
    <xf numFmtId="180" fontId="5" fillId="0" borderId="8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180" fontId="4" fillId="0" borderId="21" xfId="44" applyNumberFormat="1" applyFont="1" applyFill="1" applyBorder="1" applyAlignment="1">
      <alignment horizontal="right"/>
    </xf>
    <xf numFmtId="180" fontId="4" fillId="0" borderId="21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0" fontId="4" fillId="0" borderId="21" xfId="44" applyNumberFormat="1" applyFont="1" applyFill="1" applyBorder="1" applyAlignment="1">
      <alignment horizontal="center"/>
    </xf>
    <xf numFmtId="180" fontId="4" fillId="0" borderId="21" xfId="44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4" fillId="36" borderId="5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180" fontId="4" fillId="36" borderId="18" xfId="44" applyNumberFormat="1" applyFont="1" applyFill="1" applyBorder="1" applyAlignment="1">
      <alignment horizontal="right"/>
    </xf>
    <xf numFmtId="180" fontId="4" fillId="36" borderId="27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 horizontal="center"/>
    </xf>
    <xf numFmtId="1" fontId="4" fillId="36" borderId="18" xfId="0" applyNumberFormat="1" applyFont="1" applyFill="1" applyBorder="1" applyAlignment="1">
      <alignment horizontal="center"/>
    </xf>
    <xf numFmtId="180" fontId="4" fillId="36" borderId="18" xfId="44" applyNumberFormat="1" applyFont="1" applyFill="1" applyBorder="1" applyAlignment="1">
      <alignment horizontal="center"/>
    </xf>
    <xf numFmtId="180" fontId="4" fillId="36" borderId="18" xfId="44" applyNumberFormat="1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/>
    </xf>
    <xf numFmtId="180" fontId="4" fillId="36" borderId="52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4" fillId="36" borderId="51" xfId="0" applyFont="1" applyFill="1" applyBorder="1" applyAlignment="1">
      <alignment horizontal="right"/>
    </xf>
    <xf numFmtId="0" fontId="4" fillId="36" borderId="53" xfId="0" applyFont="1" applyFill="1" applyBorder="1" applyAlignment="1">
      <alignment horizontal="center"/>
    </xf>
    <xf numFmtId="0" fontId="4" fillId="36" borderId="22" xfId="0" applyFont="1" applyFill="1" applyBorder="1" applyAlignment="1">
      <alignment/>
    </xf>
    <xf numFmtId="180" fontId="4" fillId="36" borderId="22" xfId="44" applyNumberFormat="1" applyFont="1" applyFill="1" applyBorder="1" applyAlignment="1">
      <alignment horizontal="right"/>
    </xf>
    <xf numFmtId="180" fontId="4" fillId="36" borderId="22" xfId="0" applyNumberFormat="1" applyFont="1" applyFill="1" applyBorder="1" applyAlignment="1">
      <alignment/>
    </xf>
    <xf numFmtId="2" fontId="4" fillId="36" borderId="22" xfId="0" applyNumberFormat="1" applyFont="1" applyFill="1" applyBorder="1" applyAlignment="1">
      <alignment horizontal="center"/>
    </xf>
    <xf numFmtId="1" fontId="4" fillId="36" borderId="22" xfId="0" applyNumberFormat="1" applyFont="1" applyFill="1" applyBorder="1" applyAlignment="1">
      <alignment horizontal="center"/>
    </xf>
    <xf numFmtId="180" fontId="4" fillId="36" borderId="22" xfId="44" applyNumberFormat="1" applyFont="1" applyFill="1" applyBorder="1" applyAlignment="1">
      <alignment horizontal="center"/>
    </xf>
    <xf numFmtId="180" fontId="4" fillId="36" borderId="22" xfId="44" applyNumberFormat="1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180" fontId="4" fillId="36" borderId="18" xfId="0" applyNumberFormat="1" applyFont="1" applyFill="1" applyBorder="1" applyAlignment="1">
      <alignment/>
    </xf>
    <xf numFmtId="0" fontId="4" fillId="36" borderId="31" xfId="0" applyFont="1" applyFill="1" applyBorder="1" applyAlignment="1">
      <alignment horizontal="center"/>
    </xf>
    <xf numFmtId="180" fontId="4" fillId="36" borderId="40" xfId="44" applyNumberFormat="1" applyFont="1" applyFill="1" applyBorder="1" applyAlignment="1">
      <alignment/>
    </xf>
    <xf numFmtId="0" fontId="4" fillId="36" borderId="31" xfId="0" applyFont="1" applyFill="1" applyBorder="1" applyAlignment="1">
      <alignment horizontal="center" vertical="center"/>
    </xf>
    <xf numFmtId="0" fontId="13" fillId="36" borderId="0" xfId="0" applyFont="1" applyFill="1" applyAlignment="1">
      <alignment/>
    </xf>
    <xf numFmtId="0" fontId="4" fillId="36" borderId="57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180" fontId="4" fillId="36" borderId="29" xfId="44" applyNumberFormat="1" applyFont="1" applyFill="1" applyBorder="1" applyAlignment="1">
      <alignment horizontal="right"/>
    </xf>
    <xf numFmtId="2" fontId="4" fillId="36" borderId="29" xfId="0" applyNumberFormat="1" applyFont="1" applyFill="1" applyBorder="1" applyAlignment="1">
      <alignment horizontal="center"/>
    </xf>
    <xf numFmtId="1" fontId="4" fillId="36" borderId="29" xfId="0" applyNumberFormat="1" applyFont="1" applyFill="1" applyBorder="1" applyAlignment="1">
      <alignment horizontal="center"/>
    </xf>
    <xf numFmtId="180" fontId="4" fillId="36" borderId="29" xfId="44" applyNumberFormat="1" applyFont="1" applyFill="1" applyBorder="1" applyAlignment="1">
      <alignment horizontal="center"/>
    </xf>
    <xf numFmtId="180" fontId="4" fillId="36" borderId="36" xfId="44" applyNumberFormat="1" applyFont="1" applyFill="1" applyBorder="1" applyAlignment="1">
      <alignment/>
    </xf>
    <xf numFmtId="180" fontId="4" fillId="36" borderId="37" xfId="44" applyNumberFormat="1" applyFont="1" applyFill="1" applyBorder="1" applyAlignment="1">
      <alignment/>
    </xf>
    <xf numFmtId="180" fontId="4" fillId="36" borderId="72" xfId="0" applyNumberFormat="1" applyFont="1" applyFill="1" applyBorder="1" applyAlignment="1">
      <alignment/>
    </xf>
    <xf numFmtId="180" fontId="4" fillId="36" borderId="24" xfId="44" applyNumberFormat="1" applyFont="1" applyFill="1" applyBorder="1" applyAlignment="1">
      <alignment/>
    </xf>
    <xf numFmtId="180" fontId="4" fillId="36" borderId="23" xfId="44" applyNumberFormat="1" applyFont="1" applyFill="1" applyBorder="1" applyAlignment="1">
      <alignment/>
    </xf>
    <xf numFmtId="0" fontId="4" fillId="36" borderId="53" xfId="0" applyFont="1" applyFill="1" applyBorder="1" applyAlignment="1">
      <alignment/>
    </xf>
    <xf numFmtId="180" fontId="4" fillId="36" borderId="63" xfId="44" applyNumberFormat="1" applyFont="1" applyFill="1" applyBorder="1" applyAlignment="1">
      <alignment/>
    </xf>
    <xf numFmtId="0" fontId="4" fillId="36" borderId="59" xfId="0" applyFont="1" applyFill="1" applyBorder="1" applyAlignment="1">
      <alignment horizontal="right"/>
    </xf>
    <xf numFmtId="0" fontId="4" fillId="36" borderId="41" xfId="0" applyFont="1" applyFill="1" applyBorder="1" applyAlignment="1">
      <alignment/>
    </xf>
    <xf numFmtId="180" fontId="4" fillId="36" borderId="41" xfId="44" applyNumberFormat="1" applyFont="1" applyFill="1" applyBorder="1" applyAlignment="1">
      <alignment horizontal="right"/>
    </xf>
    <xf numFmtId="180" fontId="4" fillId="36" borderId="31" xfId="0" applyNumberFormat="1" applyFont="1" applyFill="1" applyBorder="1" applyAlignment="1">
      <alignment/>
    </xf>
    <xf numFmtId="2" fontId="4" fillId="36" borderId="41" xfId="0" applyNumberFormat="1" applyFont="1" applyFill="1" applyBorder="1" applyAlignment="1">
      <alignment horizontal="center"/>
    </xf>
    <xf numFmtId="1" fontId="4" fillId="36" borderId="41" xfId="0" applyNumberFormat="1" applyFont="1" applyFill="1" applyBorder="1" applyAlignment="1">
      <alignment horizontal="center"/>
    </xf>
    <xf numFmtId="180" fontId="4" fillId="36" borderId="41" xfId="44" applyNumberFormat="1" applyFont="1" applyFill="1" applyBorder="1" applyAlignment="1">
      <alignment horizontal="center"/>
    </xf>
    <xf numFmtId="180" fontId="4" fillId="36" borderId="42" xfId="44" applyNumberFormat="1" applyFont="1" applyFill="1" applyBorder="1" applyAlignment="1">
      <alignment/>
    </xf>
    <xf numFmtId="180" fontId="4" fillId="36" borderId="31" xfId="44" applyNumberFormat="1" applyFont="1" applyFill="1" applyBorder="1" applyAlignment="1">
      <alignment/>
    </xf>
    <xf numFmtId="180" fontId="4" fillId="36" borderId="74" xfId="0" applyNumberFormat="1" applyFont="1" applyFill="1" applyBorder="1" applyAlignment="1">
      <alignment/>
    </xf>
    <xf numFmtId="0" fontId="4" fillId="36" borderId="57" xfId="0" applyFont="1" applyFill="1" applyBorder="1" applyAlignment="1">
      <alignment horizontal="right"/>
    </xf>
    <xf numFmtId="180" fontId="4" fillId="36" borderId="29" xfId="44" applyNumberFormat="1" applyFont="1" applyFill="1" applyBorder="1" applyAlignment="1">
      <alignment/>
    </xf>
    <xf numFmtId="180" fontId="4" fillId="36" borderId="60" xfId="0" applyNumberFormat="1" applyFont="1" applyFill="1" applyBorder="1" applyAlignment="1">
      <alignment/>
    </xf>
    <xf numFmtId="1" fontId="7" fillId="36" borderId="18" xfId="0" applyNumberFormat="1" applyFont="1" applyFill="1" applyBorder="1" applyAlignment="1">
      <alignment horizontal="center"/>
    </xf>
    <xf numFmtId="0" fontId="4" fillId="36" borderId="53" xfId="0" applyFont="1" applyFill="1" applyBorder="1" applyAlignment="1">
      <alignment horizontal="right"/>
    </xf>
    <xf numFmtId="0" fontId="15" fillId="36" borderId="0" xfId="0" applyFont="1" applyFill="1" applyAlignment="1">
      <alignment/>
    </xf>
    <xf numFmtId="0" fontId="4" fillId="36" borderId="18" xfId="0" applyFont="1" applyFill="1" applyBorder="1" applyAlignment="1">
      <alignment wrapText="1"/>
    </xf>
    <xf numFmtId="0" fontId="4" fillId="36" borderId="21" xfId="0" applyFont="1" applyFill="1" applyBorder="1" applyAlignment="1">
      <alignment horizontal="right"/>
    </xf>
    <xf numFmtId="0" fontId="4" fillId="36" borderId="21" xfId="0" applyFont="1" applyFill="1" applyBorder="1" applyAlignment="1">
      <alignment/>
    </xf>
    <xf numFmtId="180" fontId="4" fillId="36" borderId="21" xfId="44" applyNumberFormat="1" applyFont="1" applyFill="1" applyBorder="1" applyAlignment="1">
      <alignment horizontal="right"/>
    </xf>
    <xf numFmtId="180" fontId="4" fillId="36" borderId="21" xfId="0" applyNumberFormat="1" applyFont="1" applyFill="1" applyBorder="1" applyAlignment="1">
      <alignment/>
    </xf>
    <xf numFmtId="2" fontId="4" fillId="36" borderId="21" xfId="0" applyNumberFormat="1" applyFont="1" applyFill="1" applyBorder="1" applyAlignment="1">
      <alignment horizontal="center"/>
    </xf>
    <xf numFmtId="1" fontId="4" fillId="36" borderId="21" xfId="0" applyNumberFormat="1" applyFont="1" applyFill="1" applyBorder="1" applyAlignment="1">
      <alignment horizontal="center"/>
    </xf>
    <xf numFmtId="180" fontId="4" fillId="36" borderId="21" xfId="44" applyNumberFormat="1" applyFont="1" applyFill="1" applyBorder="1" applyAlignment="1">
      <alignment horizontal="center"/>
    </xf>
    <xf numFmtId="180" fontId="4" fillId="36" borderId="21" xfId="44" applyNumberFormat="1" applyFont="1" applyFill="1" applyBorder="1" applyAlignment="1">
      <alignment/>
    </xf>
    <xf numFmtId="0" fontId="4" fillId="36" borderId="80" xfId="0" applyFont="1" applyFill="1" applyBorder="1" applyAlignment="1">
      <alignment horizontal="center"/>
    </xf>
    <xf numFmtId="180" fontId="4" fillId="36" borderId="82" xfId="0" applyNumberFormat="1" applyFont="1" applyFill="1" applyBorder="1" applyAlignment="1">
      <alignment/>
    </xf>
    <xf numFmtId="0" fontId="4" fillId="36" borderId="80" xfId="0" applyFont="1" applyFill="1" applyBorder="1" applyAlignment="1">
      <alignment horizontal="center" vertical="center"/>
    </xf>
    <xf numFmtId="180" fontId="4" fillId="36" borderId="29" xfId="0" applyNumberFormat="1" applyFont="1" applyFill="1" applyBorder="1" applyAlignment="1">
      <alignment/>
    </xf>
    <xf numFmtId="180" fontId="4" fillId="36" borderId="58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0" fontId="4" fillId="36" borderId="22" xfId="0" applyFont="1" applyFill="1" applyBorder="1" applyAlignment="1">
      <alignment wrapText="1"/>
    </xf>
    <xf numFmtId="180" fontId="4" fillId="36" borderId="28" xfId="0" applyNumberFormat="1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180" fontId="4" fillId="36" borderId="12" xfId="44" applyNumberFormat="1" applyFont="1" applyFill="1" applyBorder="1" applyAlignment="1">
      <alignment horizontal="right"/>
    </xf>
    <xf numFmtId="180" fontId="4" fillId="36" borderId="12" xfId="0" applyNumberFormat="1" applyFont="1" applyFill="1" applyBorder="1" applyAlignment="1">
      <alignment/>
    </xf>
    <xf numFmtId="2" fontId="4" fillId="36" borderId="12" xfId="0" applyNumberFormat="1" applyFont="1" applyFill="1" applyBorder="1" applyAlignment="1">
      <alignment horizontal="center"/>
    </xf>
    <xf numFmtId="1" fontId="4" fillId="36" borderId="12" xfId="0" applyNumberFormat="1" applyFont="1" applyFill="1" applyBorder="1" applyAlignment="1">
      <alignment horizontal="center"/>
    </xf>
    <xf numFmtId="1" fontId="4" fillId="36" borderId="77" xfId="0" applyNumberFormat="1" applyFont="1" applyFill="1" applyBorder="1" applyAlignment="1">
      <alignment horizontal="center"/>
    </xf>
    <xf numFmtId="0" fontId="4" fillId="36" borderId="83" xfId="0" applyFont="1" applyFill="1" applyBorder="1" applyAlignment="1">
      <alignment horizontal="right"/>
    </xf>
    <xf numFmtId="0" fontId="4" fillId="36" borderId="84" xfId="0" applyFont="1" applyFill="1" applyBorder="1" applyAlignment="1">
      <alignment/>
    </xf>
    <xf numFmtId="180" fontId="4" fillId="36" borderId="84" xfId="44" applyNumberFormat="1" applyFont="1" applyFill="1" applyBorder="1" applyAlignment="1">
      <alignment horizontal="right"/>
    </xf>
    <xf numFmtId="180" fontId="4" fillId="36" borderId="11" xfId="0" applyNumberFormat="1" applyFont="1" applyFill="1" applyBorder="1" applyAlignment="1">
      <alignment/>
    </xf>
    <xf numFmtId="2" fontId="4" fillId="36" borderId="84" xfId="0" applyNumberFormat="1" applyFont="1" applyFill="1" applyBorder="1" applyAlignment="1">
      <alignment horizontal="center"/>
    </xf>
    <xf numFmtId="1" fontId="4" fillId="36" borderId="84" xfId="0" applyNumberFormat="1" applyFont="1" applyFill="1" applyBorder="1" applyAlignment="1">
      <alignment horizontal="center"/>
    </xf>
    <xf numFmtId="180" fontId="4" fillId="36" borderId="84" xfId="44" applyNumberFormat="1" applyFont="1" applyFill="1" applyBorder="1" applyAlignment="1">
      <alignment horizontal="center"/>
    </xf>
    <xf numFmtId="180" fontId="4" fillId="36" borderId="85" xfId="44" applyNumberFormat="1" applyFont="1" applyFill="1" applyBorder="1" applyAlignment="1">
      <alignment/>
    </xf>
    <xf numFmtId="0" fontId="4" fillId="36" borderId="86" xfId="0" applyFont="1" applyFill="1" applyBorder="1" applyAlignment="1">
      <alignment horizontal="center"/>
    </xf>
    <xf numFmtId="180" fontId="4" fillId="36" borderId="11" xfId="44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180" fontId="4" fillId="36" borderId="87" xfId="0" applyNumberFormat="1" applyFont="1" applyFill="1" applyBorder="1" applyAlignment="1">
      <alignment/>
    </xf>
    <xf numFmtId="0" fontId="4" fillId="34" borderId="5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80" fontId="4" fillId="34" borderId="18" xfId="44" applyNumberFormat="1" applyFont="1" applyFill="1" applyBorder="1" applyAlignment="1">
      <alignment horizontal="right"/>
    </xf>
    <xf numFmtId="2" fontId="4" fillId="34" borderId="18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180" fontId="4" fillId="34" borderId="18" xfId="44" applyNumberFormat="1" applyFont="1" applyFill="1" applyBorder="1" applyAlignment="1">
      <alignment horizontal="center"/>
    </xf>
    <xf numFmtId="180" fontId="4" fillId="34" borderId="18" xfId="44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80" fontId="4" fillId="34" borderId="52" xfId="0" applyNumberFormat="1" applyFont="1" applyFill="1" applyBorder="1" applyAlignment="1">
      <alignment/>
    </xf>
    <xf numFmtId="0" fontId="4" fillId="34" borderId="51" xfId="0" applyFont="1" applyFill="1" applyBorder="1" applyAlignment="1">
      <alignment horizontal="right"/>
    </xf>
    <xf numFmtId="180" fontId="4" fillId="34" borderId="1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180" fontId="4" fillId="34" borderId="40" xfId="44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180" fontId="4" fillId="34" borderId="27" xfId="0" applyNumberFormat="1" applyFont="1" applyFill="1" applyBorder="1" applyAlignment="1">
      <alignment/>
    </xf>
    <xf numFmtId="0" fontId="4" fillId="34" borderId="5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7" borderId="57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180" fontId="4" fillId="37" borderId="29" xfId="44" applyNumberFormat="1" applyFont="1" applyFill="1" applyBorder="1" applyAlignment="1">
      <alignment horizontal="right"/>
    </xf>
    <xf numFmtId="180" fontId="4" fillId="37" borderId="18" xfId="0" applyNumberFormat="1" applyFont="1" applyFill="1" applyBorder="1" applyAlignment="1">
      <alignment/>
    </xf>
    <xf numFmtId="2" fontId="4" fillId="37" borderId="29" xfId="0" applyNumberFormat="1" applyFont="1" applyFill="1" applyBorder="1" applyAlignment="1">
      <alignment horizontal="center"/>
    </xf>
    <xf numFmtId="180" fontId="4" fillId="38" borderId="36" xfId="44" applyNumberFormat="1" applyFont="1" applyFill="1" applyBorder="1" applyAlignment="1">
      <alignment/>
    </xf>
    <xf numFmtId="180" fontId="4" fillId="38" borderId="37" xfId="44" applyNumberFormat="1" applyFont="1" applyFill="1" applyBorder="1" applyAlignment="1">
      <alignment/>
    </xf>
    <xf numFmtId="180" fontId="4" fillId="38" borderId="72" xfId="0" applyNumberFormat="1" applyFont="1" applyFill="1" applyBorder="1" applyAlignment="1">
      <alignment/>
    </xf>
    <xf numFmtId="0" fontId="4" fillId="38" borderId="57" xfId="0" applyFont="1" applyFill="1" applyBorder="1" applyAlignment="1">
      <alignment horizontal="right"/>
    </xf>
    <xf numFmtId="180" fontId="4" fillId="38" borderId="60" xfId="0" applyNumberFormat="1" applyFont="1" applyFill="1" applyBorder="1" applyAlignment="1">
      <alignment/>
    </xf>
    <xf numFmtId="1" fontId="4" fillId="37" borderId="29" xfId="0" applyNumberFormat="1" applyFont="1" applyFill="1" applyBorder="1" applyAlignment="1">
      <alignment horizontal="center"/>
    </xf>
    <xf numFmtId="180" fontId="4" fillId="37" borderId="29" xfId="44" applyNumberFormat="1" applyFont="1" applyFill="1" applyBorder="1" applyAlignment="1">
      <alignment horizontal="center"/>
    </xf>
    <xf numFmtId="180" fontId="4" fillId="37" borderId="36" xfId="44" applyNumberFormat="1" applyFont="1" applyFill="1" applyBorder="1" applyAlignment="1">
      <alignment/>
    </xf>
    <xf numFmtId="0" fontId="4" fillId="37" borderId="31" xfId="0" applyFont="1" applyFill="1" applyBorder="1" applyAlignment="1">
      <alignment horizontal="center"/>
    </xf>
    <xf numFmtId="180" fontId="4" fillId="37" borderId="37" xfId="44" applyNumberFormat="1" applyFont="1" applyFill="1" applyBorder="1" applyAlignment="1">
      <alignment/>
    </xf>
    <xf numFmtId="0" fontId="4" fillId="37" borderId="31" xfId="0" applyFont="1" applyFill="1" applyBorder="1" applyAlignment="1">
      <alignment horizontal="center" vertical="center"/>
    </xf>
    <xf numFmtId="180" fontId="4" fillId="37" borderId="72" xfId="0" applyNumberFormat="1" applyFont="1" applyFill="1" applyBorder="1" applyAlignment="1">
      <alignment/>
    </xf>
    <xf numFmtId="0" fontId="4" fillId="37" borderId="51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180" fontId="4" fillId="37" borderId="18" xfId="44" applyNumberFormat="1" applyFont="1" applyFill="1" applyBorder="1" applyAlignment="1">
      <alignment horizontal="right"/>
    </xf>
    <xf numFmtId="2" fontId="4" fillId="37" borderId="18" xfId="0" applyNumberFormat="1" applyFont="1" applyFill="1" applyBorder="1" applyAlignment="1">
      <alignment horizontal="center"/>
    </xf>
    <xf numFmtId="1" fontId="4" fillId="37" borderId="18" xfId="0" applyNumberFormat="1" applyFont="1" applyFill="1" applyBorder="1" applyAlignment="1">
      <alignment horizontal="center"/>
    </xf>
    <xf numFmtId="180" fontId="4" fillId="37" borderId="18" xfId="44" applyNumberFormat="1" applyFont="1" applyFill="1" applyBorder="1" applyAlignment="1">
      <alignment horizontal="center"/>
    </xf>
    <xf numFmtId="180" fontId="4" fillId="37" borderId="24" xfId="44" applyNumberFormat="1" applyFont="1" applyFill="1" applyBorder="1" applyAlignment="1">
      <alignment/>
    </xf>
    <xf numFmtId="180" fontId="4" fillId="37" borderId="23" xfId="44" applyNumberFormat="1" applyFont="1" applyFill="1" applyBorder="1" applyAlignment="1">
      <alignment/>
    </xf>
    <xf numFmtId="180" fontId="4" fillId="37" borderId="52" xfId="0" applyNumberFormat="1" applyFont="1" applyFill="1" applyBorder="1" applyAlignment="1">
      <alignment/>
    </xf>
    <xf numFmtId="0" fontId="4" fillId="37" borderId="51" xfId="0" applyFont="1" applyFill="1" applyBorder="1" applyAlignment="1">
      <alignment horizontal="right"/>
    </xf>
    <xf numFmtId="0" fontId="4" fillId="37" borderId="53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180" fontId="4" fillId="37" borderId="22" xfId="44" applyNumberFormat="1" applyFont="1" applyFill="1" applyBorder="1" applyAlignment="1">
      <alignment horizontal="right"/>
    </xf>
    <xf numFmtId="2" fontId="4" fillId="37" borderId="22" xfId="0" applyNumberFormat="1" applyFont="1" applyFill="1" applyBorder="1" applyAlignment="1">
      <alignment horizontal="center"/>
    </xf>
    <xf numFmtId="1" fontId="4" fillId="37" borderId="22" xfId="0" applyNumberFormat="1" applyFont="1" applyFill="1" applyBorder="1" applyAlignment="1">
      <alignment horizontal="center"/>
    </xf>
    <xf numFmtId="180" fontId="4" fillId="37" borderId="22" xfId="44" applyNumberFormat="1" applyFont="1" applyFill="1" applyBorder="1" applyAlignment="1">
      <alignment horizontal="center"/>
    </xf>
    <xf numFmtId="180" fontId="4" fillId="37" borderId="63" xfId="44" applyNumberFormat="1" applyFont="1" applyFill="1" applyBorder="1" applyAlignment="1">
      <alignment/>
    </xf>
    <xf numFmtId="180" fontId="4" fillId="37" borderId="40" xfId="44" applyNumberFormat="1" applyFont="1" applyFill="1" applyBorder="1" applyAlignment="1">
      <alignment/>
    </xf>
    <xf numFmtId="0" fontId="4" fillId="34" borderId="83" xfId="0" applyFont="1" applyFill="1" applyBorder="1" applyAlignment="1">
      <alignment horizontal="right"/>
    </xf>
    <xf numFmtId="0" fontId="4" fillId="34" borderId="84" xfId="0" applyFont="1" applyFill="1" applyBorder="1" applyAlignment="1">
      <alignment/>
    </xf>
    <xf numFmtId="180" fontId="4" fillId="34" borderId="84" xfId="44" applyNumberFormat="1" applyFont="1" applyFill="1" applyBorder="1" applyAlignment="1">
      <alignment horizontal="right"/>
    </xf>
    <xf numFmtId="180" fontId="4" fillId="34" borderId="11" xfId="0" applyNumberFormat="1" applyFont="1" applyFill="1" applyBorder="1" applyAlignment="1">
      <alignment/>
    </xf>
    <xf numFmtId="2" fontId="4" fillId="34" borderId="84" xfId="0" applyNumberFormat="1" applyFont="1" applyFill="1" applyBorder="1" applyAlignment="1">
      <alignment horizontal="center"/>
    </xf>
    <xf numFmtId="1" fontId="4" fillId="34" borderId="84" xfId="0" applyNumberFormat="1" applyFont="1" applyFill="1" applyBorder="1" applyAlignment="1">
      <alignment horizontal="center"/>
    </xf>
    <xf numFmtId="0" fontId="4" fillId="38" borderId="53" xfId="0" applyFont="1" applyFill="1" applyBorder="1" applyAlignment="1">
      <alignment horizontal="right"/>
    </xf>
    <xf numFmtId="180" fontId="4" fillId="34" borderId="84" xfId="44" applyNumberFormat="1" applyFont="1" applyFill="1" applyBorder="1" applyAlignment="1">
      <alignment horizontal="center"/>
    </xf>
    <xf numFmtId="180" fontId="4" fillId="34" borderId="85" xfId="44" applyNumberFormat="1" applyFont="1" applyFill="1" applyBorder="1" applyAlignment="1">
      <alignment/>
    </xf>
    <xf numFmtId="0" fontId="4" fillId="34" borderId="86" xfId="0" applyFont="1" applyFill="1" applyBorder="1" applyAlignment="1">
      <alignment horizontal="center"/>
    </xf>
    <xf numFmtId="180" fontId="4" fillId="34" borderId="11" xfId="44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180" fontId="4" fillId="34" borderId="87" xfId="0" applyNumberFormat="1" applyFont="1" applyFill="1" applyBorder="1" applyAlignment="1">
      <alignment/>
    </xf>
    <xf numFmtId="0" fontId="4" fillId="34" borderId="59" xfId="0" applyFont="1" applyFill="1" applyBorder="1" applyAlignment="1">
      <alignment horizontal="right"/>
    </xf>
    <xf numFmtId="0" fontId="4" fillId="34" borderId="41" xfId="0" applyFont="1" applyFill="1" applyBorder="1" applyAlignment="1">
      <alignment/>
    </xf>
    <xf numFmtId="180" fontId="4" fillId="34" borderId="41" xfId="44" applyNumberFormat="1" applyFont="1" applyFill="1" applyBorder="1" applyAlignment="1">
      <alignment horizontal="right"/>
    </xf>
    <xf numFmtId="180" fontId="4" fillId="34" borderId="31" xfId="0" applyNumberFormat="1" applyFont="1" applyFill="1" applyBorder="1" applyAlignment="1">
      <alignment/>
    </xf>
    <xf numFmtId="2" fontId="4" fillId="34" borderId="41" xfId="0" applyNumberFormat="1" applyFont="1" applyFill="1" applyBorder="1" applyAlignment="1">
      <alignment horizontal="center"/>
    </xf>
    <xf numFmtId="1" fontId="4" fillId="34" borderId="41" xfId="0" applyNumberFormat="1" applyFont="1" applyFill="1" applyBorder="1" applyAlignment="1">
      <alignment horizontal="center"/>
    </xf>
    <xf numFmtId="180" fontId="4" fillId="34" borderId="41" xfId="44" applyNumberFormat="1" applyFont="1" applyFill="1" applyBorder="1" applyAlignment="1">
      <alignment horizontal="center"/>
    </xf>
    <xf numFmtId="180" fontId="4" fillId="34" borderId="42" xfId="44" applyNumberFormat="1" applyFont="1" applyFill="1" applyBorder="1" applyAlignment="1">
      <alignment/>
    </xf>
    <xf numFmtId="180" fontId="4" fillId="34" borderId="31" xfId="44" applyNumberFormat="1" applyFont="1" applyFill="1" applyBorder="1" applyAlignment="1">
      <alignment/>
    </xf>
    <xf numFmtId="180" fontId="4" fillId="34" borderId="74" xfId="0" applyNumberFormat="1" applyFont="1" applyFill="1" applyBorder="1" applyAlignment="1">
      <alignment/>
    </xf>
    <xf numFmtId="0" fontId="4" fillId="39" borderId="57" xfId="0" applyFont="1" applyFill="1" applyBorder="1" applyAlignment="1">
      <alignment horizontal="right"/>
    </xf>
    <xf numFmtId="0" fontId="4" fillId="39" borderId="29" xfId="0" applyFont="1" applyFill="1" applyBorder="1" applyAlignment="1">
      <alignment/>
    </xf>
    <xf numFmtId="180" fontId="4" fillId="39" borderId="29" xfId="44" applyNumberFormat="1" applyFont="1" applyFill="1" applyBorder="1" applyAlignment="1">
      <alignment horizontal="right"/>
    </xf>
    <xf numFmtId="180" fontId="4" fillId="39" borderId="31" xfId="0" applyNumberFormat="1" applyFont="1" applyFill="1" applyBorder="1" applyAlignment="1">
      <alignment/>
    </xf>
    <xf numFmtId="2" fontId="4" fillId="39" borderId="29" xfId="0" applyNumberFormat="1" applyFont="1" applyFill="1" applyBorder="1" applyAlignment="1">
      <alignment horizontal="center"/>
    </xf>
    <xf numFmtId="1" fontId="4" fillId="39" borderId="29" xfId="0" applyNumberFormat="1" applyFont="1" applyFill="1" applyBorder="1" applyAlignment="1">
      <alignment horizontal="center"/>
    </xf>
    <xf numFmtId="180" fontId="4" fillId="39" borderId="29" xfId="44" applyNumberFormat="1" applyFont="1" applyFill="1" applyBorder="1" applyAlignment="1">
      <alignment horizontal="center"/>
    </xf>
    <xf numFmtId="180" fontId="4" fillId="39" borderId="29" xfId="44" applyNumberFormat="1" applyFont="1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180" fontId="4" fillId="39" borderId="60" xfId="0" applyNumberFormat="1" applyFont="1" applyFill="1" applyBorder="1" applyAlignment="1">
      <alignment/>
    </xf>
    <xf numFmtId="0" fontId="4" fillId="39" borderId="51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180" fontId="4" fillId="39" borderId="18" xfId="44" applyNumberFormat="1" applyFont="1" applyFill="1" applyBorder="1" applyAlignment="1">
      <alignment horizontal="right"/>
    </xf>
    <xf numFmtId="0" fontId="4" fillId="38" borderId="18" xfId="0" applyFont="1" applyFill="1" applyBorder="1" applyAlignment="1">
      <alignment horizontal="center"/>
    </xf>
    <xf numFmtId="180" fontId="4" fillId="39" borderId="18" xfId="0" applyNumberFormat="1" applyFont="1" applyFill="1" applyBorder="1" applyAlignment="1">
      <alignment/>
    </xf>
    <xf numFmtId="2" fontId="4" fillId="39" borderId="18" xfId="0" applyNumberFormat="1" applyFont="1" applyFill="1" applyBorder="1" applyAlignment="1">
      <alignment horizontal="center"/>
    </xf>
    <xf numFmtId="1" fontId="4" fillId="39" borderId="18" xfId="0" applyNumberFormat="1" applyFont="1" applyFill="1" applyBorder="1" applyAlignment="1">
      <alignment horizontal="center"/>
    </xf>
    <xf numFmtId="180" fontId="4" fillId="39" borderId="18" xfId="44" applyNumberFormat="1" applyFont="1" applyFill="1" applyBorder="1" applyAlignment="1">
      <alignment horizontal="center"/>
    </xf>
    <xf numFmtId="180" fontId="4" fillId="39" borderId="18" xfId="44" applyNumberFormat="1" applyFont="1" applyFill="1" applyBorder="1" applyAlignment="1">
      <alignment/>
    </xf>
    <xf numFmtId="180" fontId="4" fillId="39" borderId="52" xfId="0" applyNumberFormat="1" applyFont="1" applyFill="1" applyBorder="1" applyAlignment="1">
      <alignment/>
    </xf>
    <xf numFmtId="0" fontId="4" fillId="39" borderId="51" xfId="0" applyFont="1" applyFill="1" applyBorder="1" applyAlignment="1">
      <alignment horizontal="right"/>
    </xf>
    <xf numFmtId="0" fontId="4" fillId="39" borderId="53" xfId="0" applyFont="1" applyFill="1" applyBorder="1" applyAlignment="1">
      <alignment horizontal="right"/>
    </xf>
    <xf numFmtId="180" fontId="4" fillId="39" borderId="22" xfId="44" applyNumberFormat="1" applyFont="1" applyFill="1" applyBorder="1" applyAlignment="1">
      <alignment horizontal="right"/>
    </xf>
    <xf numFmtId="2" fontId="4" fillId="39" borderId="22" xfId="0" applyNumberFormat="1" applyFont="1" applyFill="1" applyBorder="1" applyAlignment="1">
      <alignment horizontal="center"/>
    </xf>
    <xf numFmtId="1" fontId="4" fillId="39" borderId="22" xfId="0" applyNumberFormat="1" applyFont="1" applyFill="1" applyBorder="1" applyAlignment="1">
      <alignment horizontal="center"/>
    </xf>
    <xf numFmtId="180" fontId="4" fillId="39" borderId="22" xfId="44" applyNumberFormat="1" applyFont="1" applyFill="1" applyBorder="1" applyAlignment="1">
      <alignment horizontal="center"/>
    </xf>
    <xf numFmtId="180" fontId="4" fillId="39" borderId="22" xfId="44" applyNumberFormat="1" applyFont="1" applyFill="1" applyBorder="1" applyAlignment="1">
      <alignment/>
    </xf>
    <xf numFmtId="0" fontId="4" fillId="39" borderId="53" xfId="0" applyFont="1" applyFill="1" applyBorder="1" applyAlignment="1">
      <alignment horizontal="center"/>
    </xf>
    <xf numFmtId="180" fontId="4" fillId="39" borderId="27" xfId="0" applyNumberFormat="1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18" xfId="0" applyFont="1" applyFill="1" applyBorder="1" applyAlignment="1">
      <alignment wrapText="1"/>
    </xf>
    <xf numFmtId="180" fontId="4" fillId="39" borderId="63" xfId="44" applyNumberFormat="1" applyFont="1" applyFill="1" applyBorder="1" applyAlignment="1">
      <alignment/>
    </xf>
    <xf numFmtId="0" fontId="4" fillId="39" borderId="31" xfId="0" applyFont="1" applyFill="1" applyBorder="1" applyAlignment="1">
      <alignment horizontal="center"/>
    </xf>
    <xf numFmtId="180" fontId="4" fillId="39" borderId="40" xfId="44" applyNumberFormat="1" applyFont="1" applyFill="1" applyBorder="1" applyAlignment="1">
      <alignment/>
    </xf>
    <xf numFmtId="0" fontId="4" fillId="39" borderId="31" xfId="0" applyFont="1" applyFill="1" applyBorder="1" applyAlignment="1">
      <alignment horizontal="center" vertical="center"/>
    </xf>
    <xf numFmtId="180" fontId="4" fillId="39" borderId="82" xfId="0" applyNumberFormat="1" applyFont="1" applyFill="1" applyBorder="1" applyAlignment="1">
      <alignment/>
    </xf>
    <xf numFmtId="0" fontId="4" fillId="39" borderId="21" xfId="0" applyFont="1" applyFill="1" applyBorder="1" applyAlignment="1">
      <alignment horizontal="right"/>
    </xf>
    <xf numFmtId="0" fontId="4" fillId="39" borderId="21" xfId="0" applyFont="1" applyFill="1" applyBorder="1" applyAlignment="1">
      <alignment/>
    </xf>
    <xf numFmtId="180" fontId="4" fillId="39" borderId="21" xfId="44" applyNumberFormat="1" applyFont="1" applyFill="1" applyBorder="1" applyAlignment="1">
      <alignment horizontal="right"/>
    </xf>
    <xf numFmtId="180" fontId="4" fillId="39" borderId="21" xfId="0" applyNumberFormat="1" applyFont="1" applyFill="1" applyBorder="1" applyAlignment="1">
      <alignment/>
    </xf>
    <xf numFmtId="2" fontId="4" fillId="39" borderId="21" xfId="0" applyNumberFormat="1" applyFont="1" applyFill="1" applyBorder="1" applyAlignment="1">
      <alignment horizontal="center"/>
    </xf>
    <xf numFmtId="1" fontId="4" fillId="39" borderId="21" xfId="0" applyNumberFormat="1" applyFont="1" applyFill="1" applyBorder="1" applyAlignment="1">
      <alignment horizontal="center"/>
    </xf>
    <xf numFmtId="180" fontId="4" fillId="39" borderId="21" xfId="44" applyNumberFormat="1" applyFont="1" applyFill="1" applyBorder="1" applyAlignment="1">
      <alignment horizontal="center"/>
    </xf>
    <xf numFmtId="180" fontId="4" fillId="39" borderId="21" xfId="44" applyNumberFormat="1" applyFont="1" applyFill="1" applyBorder="1" applyAlignment="1">
      <alignment/>
    </xf>
    <xf numFmtId="0" fontId="4" fillId="39" borderId="80" xfId="0" applyFont="1" applyFill="1" applyBorder="1" applyAlignment="1">
      <alignment horizontal="center"/>
    </xf>
    <xf numFmtId="0" fontId="4" fillId="39" borderId="80" xfId="0" applyFont="1" applyFill="1" applyBorder="1" applyAlignment="1">
      <alignment horizontal="center" vertical="center"/>
    </xf>
    <xf numFmtId="0" fontId="4" fillId="40" borderId="57" xfId="0" applyFont="1" applyFill="1" applyBorder="1" applyAlignment="1">
      <alignment horizontal="right"/>
    </xf>
    <xf numFmtId="0" fontId="4" fillId="40" borderId="29" xfId="0" applyFont="1" applyFill="1" applyBorder="1" applyAlignment="1">
      <alignment/>
    </xf>
    <xf numFmtId="180" fontId="4" fillId="40" borderId="29" xfId="44" applyNumberFormat="1" applyFont="1" applyFill="1" applyBorder="1" applyAlignment="1">
      <alignment horizontal="right"/>
    </xf>
    <xf numFmtId="180" fontId="4" fillId="40" borderId="29" xfId="0" applyNumberFormat="1" applyFont="1" applyFill="1" applyBorder="1" applyAlignment="1">
      <alignment/>
    </xf>
    <xf numFmtId="2" fontId="4" fillId="40" borderId="29" xfId="0" applyNumberFormat="1" applyFont="1" applyFill="1" applyBorder="1" applyAlignment="1">
      <alignment horizontal="center"/>
    </xf>
    <xf numFmtId="1" fontId="4" fillId="40" borderId="29" xfId="0" applyNumberFormat="1" applyFont="1" applyFill="1" applyBorder="1" applyAlignment="1">
      <alignment horizontal="center"/>
    </xf>
    <xf numFmtId="180" fontId="4" fillId="40" borderId="29" xfId="44" applyNumberFormat="1" applyFont="1" applyFill="1" applyBorder="1" applyAlignment="1">
      <alignment horizontal="center"/>
    </xf>
    <xf numFmtId="180" fontId="4" fillId="40" borderId="29" xfId="44" applyNumberFormat="1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 vertical="center"/>
    </xf>
    <xf numFmtId="180" fontId="4" fillId="40" borderId="58" xfId="0" applyNumberFormat="1" applyFont="1" applyFill="1" applyBorder="1" applyAlignment="1">
      <alignment/>
    </xf>
    <xf numFmtId="0" fontId="4" fillId="40" borderId="51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180" fontId="4" fillId="40" borderId="18" xfId="44" applyNumberFormat="1" applyFont="1" applyFill="1" applyBorder="1" applyAlignment="1">
      <alignment horizontal="right"/>
    </xf>
    <xf numFmtId="2" fontId="4" fillId="40" borderId="18" xfId="0" applyNumberFormat="1" applyFont="1" applyFill="1" applyBorder="1" applyAlignment="1">
      <alignment horizontal="center"/>
    </xf>
    <xf numFmtId="1" fontId="4" fillId="40" borderId="18" xfId="0" applyNumberFormat="1" applyFont="1" applyFill="1" applyBorder="1" applyAlignment="1">
      <alignment horizontal="center"/>
    </xf>
    <xf numFmtId="180" fontId="4" fillId="40" borderId="18" xfId="44" applyNumberFormat="1" applyFont="1" applyFill="1" applyBorder="1" applyAlignment="1">
      <alignment horizontal="center"/>
    </xf>
    <xf numFmtId="180" fontId="4" fillId="40" borderId="18" xfId="44" applyNumberFormat="1" applyFont="1" applyFill="1" applyBorder="1" applyAlignment="1">
      <alignment/>
    </xf>
    <xf numFmtId="180" fontId="4" fillId="40" borderId="52" xfId="0" applyNumberFormat="1" applyFont="1" applyFill="1" applyBorder="1" applyAlignment="1">
      <alignment/>
    </xf>
    <xf numFmtId="0" fontId="4" fillId="40" borderId="51" xfId="0" applyFont="1" applyFill="1" applyBorder="1" applyAlignment="1">
      <alignment horizontal="right"/>
    </xf>
    <xf numFmtId="0" fontId="4" fillId="38" borderId="57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180" fontId="4" fillId="38" borderId="29" xfId="44" applyNumberFormat="1" applyFont="1" applyFill="1" applyBorder="1" applyAlignment="1">
      <alignment horizontal="right"/>
    </xf>
    <xf numFmtId="180" fontId="4" fillId="38" borderId="29" xfId="0" applyNumberFormat="1" applyFont="1" applyFill="1" applyBorder="1" applyAlignment="1">
      <alignment/>
    </xf>
    <xf numFmtId="2" fontId="4" fillId="38" borderId="29" xfId="0" applyNumberFormat="1" applyFont="1" applyFill="1" applyBorder="1" applyAlignment="1">
      <alignment horizontal="center"/>
    </xf>
    <xf numFmtId="1" fontId="4" fillId="38" borderId="29" xfId="0" applyNumberFormat="1" applyFont="1" applyFill="1" applyBorder="1" applyAlignment="1">
      <alignment horizontal="center"/>
    </xf>
    <xf numFmtId="180" fontId="4" fillId="38" borderId="29" xfId="44" applyNumberFormat="1" applyFont="1" applyFill="1" applyBorder="1" applyAlignment="1">
      <alignment horizontal="center"/>
    </xf>
    <xf numFmtId="180" fontId="4" fillId="38" borderId="29" xfId="44" applyNumberFormat="1" applyFon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 vertical="center"/>
    </xf>
    <xf numFmtId="180" fontId="4" fillId="38" borderId="58" xfId="0" applyNumberFormat="1" applyFont="1" applyFill="1" applyBorder="1" applyAlignment="1">
      <alignment/>
    </xf>
    <xf numFmtId="0" fontId="4" fillId="38" borderId="51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180" fontId="4" fillId="38" borderId="18" xfId="44" applyNumberFormat="1" applyFont="1" applyFill="1" applyBorder="1" applyAlignment="1">
      <alignment horizontal="right"/>
    </xf>
    <xf numFmtId="2" fontId="4" fillId="38" borderId="18" xfId="0" applyNumberFormat="1" applyFont="1" applyFill="1" applyBorder="1" applyAlignment="1">
      <alignment horizontal="center"/>
    </xf>
    <xf numFmtId="1" fontId="4" fillId="38" borderId="18" xfId="0" applyNumberFormat="1" applyFont="1" applyFill="1" applyBorder="1" applyAlignment="1">
      <alignment horizontal="center"/>
    </xf>
    <xf numFmtId="180" fontId="4" fillId="38" borderId="18" xfId="44" applyNumberFormat="1" applyFont="1" applyFill="1" applyBorder="1" applyAlignment="1">
      <alignment horizontal="center"/>
    </xf>
    <xf numFmtId="180" fontId="4" fillId="38" borderId="18" xfId="44" applyNumberFormat="1" applyFont="1" applyFill="1" applyBorder="1" applyAlignment="1">
      <alignment/>
    </xf>
    <xf numFmtId="180" fontId="4" fillId="38" borderId="52" xfId="0" applyNumberFormat="1" applyFont="1" applyFill="1" applyBorder="1" applyAlignment="1">
      <alignment/>
    </xf>
    <xf numFmtId="0" fontId="4" fillId="38" borderId="53" xfId="0" applyFont="1" applyFill="1" applyBorder="1" applyAlignment="1">
      <alignment/>
    </xf>
    <xf numFmtId="0" fontId="4" fillId="38" borderId="22" xfId="0" applyFont="1" applyFill="1" applyBorder="1" applyAlignment="1">
      <alignment/>
    </xf>
    <xf numFmtId="180" fontId="4" fillId="38" borderId="22" xfId="44" applyNumberFormat="1" applyFont="1" applyFill="1" applyBorder="1" applyAlignment="1">
      <alignment horizontal="right"/>
    </xf>
    <xf numFmtId="2" fontId="4" fillId="38" borderId="22" xfId="0" applyNumberFormat="1" applyFont="1" applyFill="1" applyBorder="1" applyAlignment="1">
      <alignment horizontal="center"/>
    </xf>
    <xf numFmtId="1" fontId="4" fillId="38" borderId="22" xfId="0" applyNumberFormat="1" applyFont="1" applyFill="1" applyBorder="1" applyAlignment="1">
      <alignment horizontal="center"/>
    </xf>
    <xf numFmtId="180" fontId="4" fillId="38" borderId="22" xfId="44" applyNumberFormat="1" applyFont="1" applyFill="1" applyBorder="1" applyAlignment="1">
      <alignment horizontal="center"/>
    </xf>
    <xf numFmtId="180" fontId="4" fillId="38" borderId="22" xfId="44" applyNumberFormat="1" applyFont="1" applyFill="1" applyBorder="1" applyAlignment="1">
      <alignment/>
    </xf>
    <xf numFmtId="180" fontId="4" fillId="38" borderId="54" xfId="0" applyNumberFormat="1" applyFont="1" applyFill="1" applyBorder="1" applyAlignment="1">
      <alignment/>
    </xf>
    <xf numFmtId="0" fontId="4" fillId="38" borderId="53" xfId="0" applyFont="1" applyFill="1" applyBorder="1" applyAlignment="1">
      <alignment horizontal="center"/>
    </xf>
    <xf numFmtId="180" fontId="4" fillId="38" borderId="22" xfId="0" applyNumberFormat="1" applyFont="1" applyFill="1" applyBorder="1" applyAlignment="1">
      <alignment/>
    </xf>
    <xf numFmtId="0" fontId="4" fillId="41" borderId="57" xfId="0" applyFont="1" applyFill="1" applyBorder="1" applyAlignment="1">
      <alignment/>
    </xf>
    <xf numFmtId="0" fontId="4" fillId="41" borderId="29" xfId="0" applyFont="1" applyFill="1" applyBorder="1" applyAlignment="1">
      <alignment/>
    </xf>
    <xf numFmtId="180" fontId="4" fillId="41" borderId="29" xfId="44" applyNumberFormat="1" applyFont="1" applyFill="1" applyBorder="1" applyAlignment="1">
      <alignment horizontal="right"/>
    </xf>
    <xf numFmtId="180" fontId="4" fillId="41" borderId="29" xfId="0" applyNumberFormat="1" applyFont="1" applyFill="1" applyBorder="1" applyAlignment="1">
      <alignment/>
    </xf>
    <xf numFmtId="2" fontId="4" fillId="41" borderId="29" xfId="0" applyNumberFormat="1" applyFont="1" applyFill="1" applyBorder="1" applyAlignment="1">
      <alignment horizontal="center"/>
    </xf>
    <xf numFmtId="1" fontId="4" fillId="41" borderId="29" xfId="0" applyNumberFormat="1" applyFont="1" applyFill="1" applyBorder="1" applyAlignment="1">
      <alignment horizontal="center"/>
    </xf>
    <xf numFmtId="180" fontId="4" fillId="41" borderId="29" xfId="44" applyNumberFormat="1" applyFont="1" applyFill="1" applyBorder="1" applyAlignment="1">
      <alignment horizontal="center"/>
    </xf>
    <xf numFmtId="180" fontId="4" fillId="41" borderId="29" xfId="44" applyNumberFormat="1" applyFont="1" applyFill="1" applyBorder="1" applyAlignment="1">
      <alignment/>
    </xf>
    <xf numFmtId="0" fontId="4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 vertical="center"/>
    </xf>
    <xf numFmtId="180" fontId="4" fillId="41" borderId="58" xfId="0" applyNumberFormat="1" applyFont="1" applyFill="1" applyBorder="1" applyAlignment="1">
      <alignment/>
    </xf>
    <xf numFmtId="0" fontId="4" fillId="41" borderId="53" xfId="0" applyFont="1" applyFill="1" applyBorder="1" applyAlignment="1">
      <alignment horizontal="center"/>
    </xf>
    <xf numFmtId="0" fontId="4" fillId="41" borderId="22" xfId="0" applyFont="1" applyFill="1" applyBorder="1" applyAlignment="1">
      <alignment/>
    </xf>
    <xf numFmtId="0" fontId="4" fillId="41" borderId="22" xfId="0" applyFont="1" applyFill="1" applyBorder="1" applyAlignment="1">
      <alignment wrapText="1"/>
    </xf>
    <xf numFmtId="180" fontId="4" fillId="41" borderId="22" xfId="44" applyNumberFormat="1" applyFont="1" applyFill="1" applyBorder="1" applyAlignment="1">
      <alignment horizontal="right"/>
    </xf>
    <xf numFmtId="180" fontId="4" fillId="41" borderId="28" xfId="0" applyNumberFormat="1" applyFont="1" applyFill="1" applyBorder="1" applyAlignment="1">
      <alignment/>
    </xf>
    <xf numFmtId="2" fontId="4" fillId="41" borderId="22" xfId="0" applyNumberFormat="1" applyFont="1" applyFill="1" applyBorder="1" applyAlignment="1">
      <alignment horizontal="center"/>
    </xf>
    <xf numFmtId="1" fontId="4" fillId="41" borderId="22" xfId="0" applyNumberFormat="1" applyFont="1" applyFill="1" applyBorder="1" applyAlignment="1">
      <alignment horizontal="center"/>
    </xf>
    <xf numFmtId="180" fontId="4" fillId="41" borderId="22" xfId="44" applyNumberFormat="1" applyFont="1" applyFill="1" applyBorder="1" applyAlignment="1">
      <alignment horizontal="center"/>
    </xf>
    <xf numFmtId="180" fontId="4" fillId="41" borderId="63" xfId="44" applyNumberFormat="1" applyFont="1" applyFill="1" applyBorder="1" applyAlignment="1">
      <alignment/>
    </xf>
    <xf numFmtId="0" fontId="4" fillId="41" borderId="31" xfId="0" applyFont="1" applyFill="1" applyBorder="1" applyAlignment="1">
      <alignment horizontal="center"/>
    </xf>
    <xf numFmtId="180" fontId="4" fillId="41" borderId="40" xfId="44" applyNumberFormat="1" applyFont="1" applyFill="1" applyBorder="1" applyAlignment="1">
      <alignment/>
    </xf>
    <xf numFmtId="0" fontId="4" fillId="41" borderId="31" xfId="0" applyFont="1" applyFill="1" applyBorder="1" applyAlignment="1">
      <alignment horizontal="center" vertical="center"/>
    </xf>
    <xf numFmtId="180" fontId="4" fillId="41" borderId="52" xfId="0" applyNumberFormat="1" applyFont="1" applyFill="1" applyBorder="1" applyAlignment="1">
      <alignment/>
    </xf>
    <xf numFmtId="0" fontId="4" fillId="34" borderId="78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80" fontId="4" fillId="34" borderId="12" xfId="44" applyNumberFormat="1" applyFont="1" applyFill="1" applyBorder="1" applyAlignment="1">
      <alignment horizontal="right"/>
    </xf>
    <xf numFmtId="180" fontId="4" fillId="34" borderId="12" xfId="0" applyNumberFormat="1" applyFont="1" applyFill="1" applyBorder="1" applyAlignment="1">
      <alignment/>
    </xf>
    <xf numFmtId="2" fontId="4" fillId="34" borderId="12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1" fontId="7" fillId="34" borderId="77" xfId="0" applyNumberFormat="1" applyFont="1" applyFill="1" applyBorder="1" applyAlignment="1">
      <alignment horizontal="center"/>
    </xf>
    <xf numFmtId="0" fontId="4" fillId="38" borderId="80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right"/>
    </xf>
    <xf numFmtId="0" fontId="4" fillId="38" borderId="41" xfId="0" applyFont="1" applyFill="1" applyBorder="1" applyAlignment="1">
      <alignment/>
    </xf>
    <xf numFmtId="180" fontId="4" fillId="38" borderId="41" xfId="44" applyNumberFormat="1" applyFont="1" applyFill="1" applyBorder="1" applyAlignment="1">
      <alignment horizontal="right"/>
    </xf>
    <xf numFmtId="180" fontId="4" fillId="38" borderId="31" xfId="0" applyNumberFormat="1" applyFont="1" applyFill="1" applyBorder="1" applyAlignment="1">
      <alignment/>
    </xf>
    <xf numFmtId="2" fontId="4" fillId="38" borderId="41" xfId="0" applyNumberFormat="1" applyFont="1" applyFill="1" applyBorder="1" applyAlignment="1">
      <alignment horizontal="center"/>
    </xf>
    <xf numFmtId="1" fontId="4" fillId="38" borderId="41" xfId="0" applyNumberFormat="1" applyFont="1" applyFill="1" applyBorder="1" applyAlignment="1">
      <alignment horizontal="center"/>
    </xf>
    <xf numFmtId="180" fontId="4" fillId="38" borderId="41" xfId="44" applyNumberFormat="1" applyFont="1" applyFill="1" applyBorder="1" applyAlignment="1">
      <alignment horizontal="center"/>
    </xf>
    <xf numFmtId="180" fontId="4" fillId="38" borderId="42" xfId="44" applyNumberFormat="1" applyFont="1" applyFill="1" applyBorder="1" applyAlignment="1">
      <alignment/>
    </xf>
    <xf numFmtId="180" fontId="4" fillId="38" borderId="31" xfId="44" applyNumberFormat="1" applyFont="1" applyFill="1" applyBorder="1" applyAlignment="1">
      <alignment/>
    </xf>
    <xf numFmtId="180" fontId="4" fillId="38" borderId="74" xfId="0" applyNumberFormat="1" applyFont="1" applyFill="1" applyBorder="1" applyAlignment="1">
      <alignment/>
    </xf>
    <xf numFmtId="0" fontId="4" fillId="38" borderId="18" xfId="0" applyFont="1" applyFill="1" applyBorder="1" applyAlignment="1">
      <alignment wrapText="1"/>
    </xf>
    <xf numFmtId="180" fontId="4" fillId="38" borderId="82" xfId="0" applyNumberFormat="1" applyFont="1" applyFill="1" applyBorder="1" applyAlignment="1">
      <alignment/>
    </xf>
    <xf numFmtId="0" fontId="4" fillId="38" borderId="22" xfId="0" applyFont="1" applyFill="1" applyBorder="1" applyAlignment="1">
      <alignment wrapText="1"/>
    </xf>
    <xf numFmtId="180" fontId="4" fillId="38" borderId="28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180" fontId="4" fillId="38" borderId="21" xfId="44" applyNumberFormat="1" applyFont="1" applyFill="1" applyBorder="1" applyAlignment="1">
      <alignment horizontal="center"/>
    </xf>
    <xf numFmtId="180" fontId="4" fillId="38" borderId="21" xfId="44" applyNumberFormat="1" applyFont="1" applyFill="1" applyBorder="1" applyAlignment="1">
      <alignment/>
    </xf>
    <xf numFmtId="0" fontId="4" fillId="38" borderId="80" xfId="0" applyFont="1" applyFill="1" applyBorder="1" applyAlignment="1">
      <alignment horizontal="center"/>
    </xf>
    <xf numFmtId="0" fontId="4" fillId="42" borderId="51" xfId="0" applyFont="1" applyFill="1" applyBorder="1" applyAlignment="1">
      <alignment/>
    </xf>
    <xf numFmtId="0" fontId="4" fillId="42" borderId="18" xfId="0" applyFont="1" applyFill="1" applyBorder="1" applyAlignment="1">
      <alignment/>
    </xf>
    <xf numFmtId="180" fontId="4" fillId="42" borderId="18" xfId="44" applyNumberFormat="1" applyFont="1" applyFill="1" applyBorder="1" applyAlignment="1">
      <alignment horizontal="right"/>
    </xf>
    <xf numFmtId="180" fontId="4" fillId="42" borderId="27" xfId="0" applyNumberFormat="1" applyFont="1" applyFill="1" applyBorder="1" applyAlignment="1">
      <alignment/>
    </xf>
    <xf numFmtId="2" fontId="4" fillId="42" borderId="18" xfId="0" applyNumberFormat="1" applyFont="1" applyFill="1" applyBorder="1" applyAlignment="1">
      <alignment horizontal="center"/>
    </xf>
    <xf numFmtId="1" fontId="4" fillId="42" borderId="18" xfId="0" applyNumberFormat="1" applyFont="1" applyFill="1" applyBorder="1" applyAlignment="1">
      <alignment horizontal="center"/>
    </xf>
    <xf numFmtId="180" fontId="4" fillId="42" borderId="18" xfId="44" applyNumberFormat="1" applyFont="1" applyFill="1" applyBorder="1" applyAlignment="1">
      <alignment horizontal="center"/>
    </xf>
    <xf numFmtId="180" fontId="4" fillId="42" borderId="18" xfId="44" applyNumberFormat="1" applyFont="1" applyFill="1" applyBorder="1" applyAlignment="1">
      <alignment/>
    </xf>
    <xf numFmtId="0" fontId="4" fillId="42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 vertical="center"/>
    </xf>
    <xf numFmtId="180" fontId="4" fillId="42" borderId="52" xfId="0" applyNumberFormat="1" applyFont="1" applyFill="1" applyBorder="1" applyAlignment="1">
      <alignment/>
    </xf>
    <xf numFmtId="180" fontId="4" fillId="38" borderId="18" xfId="0" applyNumberFormat="1" applyFont="1" applyFill="1" applyBorder="1" applyAlignment="1">
      <alignment/>
    </xf>
    <xf numFmtId="180" fontId="4" fillId="38" borderId="63" xfId="44" applyNumberFormat="1" applyFont="1" applyFill="1" applyBorder="1" applyAlignment="1">
      <alignment/>
    </xf>
    <xf numFmtId="0" fontId="4" fillId="38" borderId="31" xfId="0" applyFont="1" applyFill="1" applyBorder="1" applyAlignment="1">
      <alignment horizontal="center"/>
    </xf>
    <xf numFmtId="180" fontId="4" fillId="38" borderId="40" xfId="44" applyNumberFormat="1" applyFont="1" applyFill="1" applyBorder="1" applyAlignment="1">
      <alignment/>
    </xf>
    <xf numFmtId="0" fontId="4" fillId="38" borderId="31" xfId="0" applyFont="1" applyFill="1" applyBorder="1" applyAlignment="1">
      <alignment horizontal="center" vertical="center"/>
    </xf>
    <xf numFmtId="180" fontId="4" fillId="38" borderId="27" xfId="0" applyNumberFormat="1" applyFont="1" applyFill="1" applyBorder="1" applyAlignment="1">
      <alignment/>
    </xf>
    <xf numFmtId="0" fontId="4" fillId="38" borderId="51" xfId="0" applyFont="1" applyFill="1" applyBorder="1" applyAlignment="1">
      <alignment horizontal="right"/>
    </xf>
    <xf numFmtId="0" fontId="4" fillId="38" borderId="21" xfId="0" applyFont="1" applyFill="1" applyBorder="1" applyAlignment="1">
      <alignment horizontal="right"/>
    </xf>
    <xf numFmtId="0" fontId="4" fillId="38" borderId="21" xfId="0" applyFont="1" applyFill="1" applyBorder="1" applyAlignment="1">
      <alignment/>
    </xf>
    <xf numFmtId="180" fontId="4" fillId="38" borderId="21" xfId="44" applyNumberFormat="1" applyFont="1" applyFill="1" applyBorder="1" applyAlignment="1">
      <alignment horizontal="right"/>
    </xf>
    <xf numFmtId="180" fontId="4" fillId="38" borderId="21" xfId="0" applyNumberFormat="1" applyFont="1" applyFill="1" applyBorder="1" applyAlignment="1">
      <alignment/>
    </xf>
    <xf numFmtId="2" fontId="4" fillId="38" borderId="21" xfId="0" applyNumberFormat="1" applyFont="1" applyFill="1" applyBorder="1" applyAlignment="1">
      <alignment horizontal="center"/>
    </xf>
    <xf numFmtId="1" fontId="4" fillId="38" borderId="21" xfId="0" applyNumberFormat="1" applyFont="1" applyFill="1" applyBorder="1" applyAlignment="1">
      <alignment horizontal="center"/>
    </xf>
    <xf numFmtId="180" fontId="4" fillId="38" borderId="24" xfId="44" applyNumberFormat="1" applyFont="1" applyFill="1" applyBorder="1" applyAlignment="1">
      <alignment/>
    </xf>
    <xf numFmtId="180" fontId="4" fillId="38" borderId="23" xfId="44" applyNumberFormat="1" applyFont="1" applyFill="1" applyBorder="1" applyAlignment="1">
      <alignment/>
    </xf>
    <xf numFmtId="1" fontId="18" fillId="38" borderId="22" xfId="0" applyNumberFormat="1" applyFont="1" applyFill="1" applyBorder="1" applyAlignment="1">
      <alignment horizontal="center"/>
    </xf>
    <xf numFmtId="1" fontId="18" fillId="38" borderId="18" xfId="0" applyNumberFormat="1" applyFont="1" applyFill="1" applyBorder="1" applyAlignment="1">
      <alignment horizontal="center"/>
    </xf>
    <xf numFmtId="0" fontId="4" fillId="38" borderId="83" xfId="0" applyFont="1" applyFill="1" applyBorder="1" applyAlignment="1">
      <alignment horizontal="right"/>
    </xf>
    <xf numFmtId="0" fontId="4" fillId="38" borderId="84" xfId="0" applyFont="1" applyFill="1" applyBorder="1" applyAlignment="1">
      <alignment/>
    </xf>
    <xf numFmtId="180" fontId="4" fillId="38" borderId="84" xfId="44" applyNumberFormat="1" applyFont="1" applyFill="1" applyBorder="1" applyAlignment="1">
      <alignment horizontal="right"/>
    </xf>
    <xf numFmtId="180" fontId="4" fillId="38" borderId="11" xfId="0" applyNumberFormat="1" applyFont="1" applyFill="1" applyBorder="1" applyAlignment="1">
      <alignment/>
    </xf>
    <xf numFmtId="2" fontId="4" fillId="38" borderId="84" xfId="0" applyNumberFormat="1" applyFont="1" applyFill="1" applyBorder="1" applyAlignment="1">
      <alignment horizontal="center"/>
    </xf>
    <xf numFmtId="1" fontId="4" fillId="38" borderId="84" xfId="0" applyNumberFormat="1" applyFont="1" applyFill="1" applyBorder="1" applyAlignment="1">
      <alignment horizontal="center"/>
    </xf>
    <xf numFmtId="180" fontId="4" fillId="38" borderId="84" xfId="44" applyNumberFormat="1" applyFont="1" applyFill="1" applyBorder="1" applyAlignment="1">
      <alignment horizontal="center"/>
    </xf>
    <xf numFmtId="180" fontId="4" fillId="38" borderId="85" xfId="44" applyNumberFormat="1" applyFont="1" applyFill="1" applyBorder="1" applyAlignment="1">
      <alignment/>
    </xf>
    <xf numFmtId="0" fontId="4" fillId="38" borderId="86" xfId="0" applyFont="1" applyFill="1" applyBorder="1" applyAlignment="1">
      <alignment horizontal="center"/>
    </xf>
    <xf numFmtId="180" fontId="4" fillId="38" borderId="11" xfId="44" applyNumberFormat="1" applyFont="1" applyFill="1" applyBorder="1" applyAlignment="1">
      <alignment/>
    </xf>
    <xf numFmtId="0" fontId="4" fillId="38" borderId="11" xfId="0" applyFont="1" applyFill="1" applyBorder="1" applyAlignment="1">
      <alignment horizontal="center" vertical="center"/>
    </xf>
    <xf numFmtId="180" fontId="4" fillId="38" borderId="87" xfId="0" applyNumberFormat="1" applyFont="1" applyFill="1" applyBorder="1" applyAlignment="1">
      <alignment/>
    </xf>
    <xf numFmtId="43" fontId="4" fillId="0" borderId="18" xfId="0" applyNumberFormat="1" applyFont="1" applyFill="1" applyBorder="1" applyAlignment="1">
      <alignment/>
    </xf>
    <xf numFmtId="180" fontId="4" fillId="0" borderId="82" xfId="0" applyNumberFormat="1" applyFont="1" applyFill="1" applyBorder="1" applyAlignment="1">
      <alignment/>
    </xf>
    <xf numFmtId="0" fontId="4" fillId="0" borderId="8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0" fontId="4" fillId="0" borderId="18" xfId="44" applyNumberFormat="1" applyFont="1" applyFill="1" applyBorder="1" applyAlignment="1">
      <alignment horizontal="right" vertical="center"/>
    </xf>
    <xf numFmtId="180" fontId="4" fillId="0" borderId="27" xfId="0" applyNumberFormat="1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80" fontId="4" fillId="0" borderId="18" xfId="44" applyNumberFormat="1" applyFont="1" applyFill="1" applyBorder="1" applyAlignment="1">
      <alignment horizontal="center" vertical="center"/>
    </xf>
    <xf numFmtId="180" fontId="4" fillId="0" borderId="18" xfId="44" applyNumberFormat="1" applyFont="1" applyFill="1" applyBorder="1" applyAlignment="1">
      <alignment vertical="center"/>
    </xf>
    <xf numFmtId="43" fontId="4" fillId="0" borderId="5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0" fontId="4" fillId="0" borderId="52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80" fontId="4" fillId="0" borderId="22" xfId="44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80" fontId="4" fillId="0" borderId="22" xfId="44" applyNumberFormat="1" applyFont="1" applyFill="1" applyBorder="1" applyAlignment="1">
      <alignment horizontal="center" vertical="center"/>
    </xf>
    <xf numFmtId="180" fontId="4" fillId="0" borderId="22" xfId="44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80" fontId="4" fillId="0" borderId="38" xfId="44" applyNumberFormat="1" applyFont="1" applyFill="1" applyBorder="1" applyAlignment="1">
      <alignment horizontal="right" vertical="center"/>
    </xf>
    <xf numFmtId="180" fontId="5" fillId="0" borderId="67" xfId="44" applyNumberFormat="1" applyFont="1" applyFill="1" applyBorder="1" applyAlignment="1">
      <alignment vertical="center"/>
    </xf>
    <xf numFmtId="2" fontId="4" fillId="0" borderId="38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80" fontId="5" fillId="0" borderId="38" xfId="44" applyNumberFormat="1" applyFont="1" applyFill="1" applyBorder="1" applyAlignment="1">
      <alignment horizontal="center" vertical="center"/>
    </xf>
    <xf numFmtId="180" fontId="5" fillId="0" borderId="38" xfId="44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180" fontId="5" fillId="0" borderId="39" xfId="44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180" fontId="5" fillId="0" borderId="56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180" fontId="4" fillId="0" borderId="29" xfId="44" applyNumberFormat="1" applyFont="1" applyFill="1" applyBorder="1" applyAlignment="1">
      <alignment horizontal="right" vertical="center"/>
    </xf>
    <xf numFmtId="180" fontId="4" fillId="0" borderId="18" xfId="0" applyNumberFormat="1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80" fontId="4" fillId="0" borderId="29" xfId="44" applyNumberFormat="1" applyFont="1" applyFill="1" applyBorder="1" applyAlignment="1">
      <alignment horizontal="center" vertical="center"/>
    </xf>
    <xf numFmtId="180" fontId="4" fillId="0" borderId="36" xfId="44" applyNumberFormat="1" applyFont="1" applyFill="1" applyBorder="1" applyAlignment="1">
      <alignment vertical="center"/>
    </xf>
    <xf numFmtId="180" fontId="4" fillId="0" borderId="37" xfId="44" applyNumberFormat="1" applyFont="1" applyFill="1" applyBorder="1" applyAlignment="1">
      <alignment vertical="center"/>
    </xf>
    <xf numFmtId="180" fontId="4" fillId="0" borderId="72" xfId="0" applyNumberFormat="1" applyFont="1" applyFill="1" applyBorder="1" applyAlignment="1">
      <alignment vertical="center"/>
    </xf>
    <xf numFmtId="180" fontId="4" fillId="0" borderId="24" xfId="44" applyNumberFormat="1" applyFont="1" applyFill="1" applyBorder="1" applyAlignment="1">
      <alignment vertical="center"/>
    </xf>
    <xf numFmtId="180" fontId="4" fillId="0" borderId="23" xfId="44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180" fontId="4" fillId="0" borderId="63" xfId="44" applyNumberFormat="1" applyFont="1" applyFill="1" applyBorder="1" applyAlignment="1">
      <alignment vertical="center"/>
    </xf>
    <xf numFmtId="180" fontId="4" fillId="0" borderId="40" xfId="44" applyNumberFormat="1" applyFont="1" applyFill="1" applyBorder="1" applyAlignment="1">
      <alignment vertical="center"/>
    </xf>
    <xf numFmtId="180" fontId="4" fillId="0" borderId="38" xfId="44" applyNumberFormat="1" applyFont="1" applyFill="1" applyBorder="1" applyAlignment="1">
      <alignment vertical="center"/>
    </xf>
    <xf numFmtId="180" fontId="5" fillId="0" borderId="73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180" fontId="4" fillId="0" borderId="41" xfId="44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80" fontId="4" fillId="0" borderId="41" xfId="44" applyNumberFormat="1" applyFont="1" applyFill="1" applyBorder="1" applyAlignment="1">
      <alignment horizontal="center" vertical="center"/>
    </xf>
    <xf numFmtId="180" fontId="4" fillId="0" borderId="42" xfId="44" applyNumberFormat="1" applyFont="1" applyFill="1" applyBorder="1" applyAlignment="1">
      <alignment vertical="center"/>
    </xf>
    <xf numFmtId="180" fontId="4" fillId="0" borderId="31" xfId="44" applyNumberFormat="1" applyFont="1" applyFill="1" applyBorder="1" applyAlignment="1">
      <alignment vertical="center"/>
    </xf>
    <xf numFmtId="180" fontId="4" fillId="0" borderId="74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horizontal="right" vertical="center"/>
    </xf>
    <xf numFmtId="180" fontId="4" fillId="0" borderId="29" xfId="44" applyNumberFormat="1" applyFont="1" applyFill="1" applyBorder="1" applyAlignment="1">
      <alignment vertical="center"/>
    </xf>
    <xf numFmtId="180" fontId="4" fillId="0" borderId="60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180" fontId="4" fillId="0" borderId="8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2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80" fontId="4" fillId="0" borderId="21" xfId="44" applyNumberFormat="1" applyFont="1" applyFill="1" applyBorder="1" applyAlignment="1">
      <alignment vertical="center"/>
    </xf>
    <xf numFmtId="180" fontId="4" fillId="0" borderId="20" xfId="44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vertical="center"/>
    </xf>
    <xf numFmtId="180" fontId="4" fillId="0" borderId="58" xfId="0" applyNumberFormat="1" applyFont="1" applyFill="1" applyBorder="1" applyAlignment="1">
      <alignment vertical="center"/>
    </xf>
    <xf numFmtId="180" fontId="4" fillId="0" borderId="54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 wrapText="1"/>
    </xf>
    <xf numFmtId="180" fontId="4" fillId="0" borderId="28" xfId="0" applyNumberFormat="1" applyFont="1" applyFill="1" applyBorder="1" applyAlignment="1">
      <alignment vertical="center"/>
    </xf>
    <xf numFmtId="180" fontId="5" fillId="0" borderId="67" xfId="44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4" fillId="0" borderId="10" xfId="44" applyNumberFormat="1" applyFont="1" applyFill="1" applyBorder="1" applyAlignment="1">
      <alignment horizontal="right" vertical="center"/>
    </xf>
    <xf numFmtId="180" fontId="4" fillId="0" borderId="10" xfId="44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0" fontId="4" fillId="0" borderId="10" xfId="44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0" fontId="4" fillId="0" borderId="76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180" fontId="4" fillId="0" borderId="41" xfId="44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180" fontId="5" fillId="0" borderId="46" xfId="44" applyNumberFormat="1" applyFont="1" applyFill="1" applyBorder="1" applyAlignment="1">
      <alignment horizontal="right" vertical="center"/>
    </xf>
    <xf numFmtId="180" fontId="5" fillId="0" borderId="46" xfId="44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80" fontId="4" fillId="0" borderId="88" xfId="0" applyNumberFormat="1" applyFont="1" applyFill="1" applyBorder="1" applyAlignment="1">
      <alignment vertical="center"/>
    </xf>
    <xf numFmtId="0" fontId="4" fillId="0" borderId="83" xfId="0" applyFont="1" applyFill="1" applyBorder="1" applyAlignment="1">
      <alignment horizontal="right"/>
    </xf>
    <xf numFmtId="0" fontId="4" fillId="0" borderId="84" xfId="0" applyFont="1" applyFill="1" applyBorder="1" applyAlignment="1">
      <alignment/>
    </xf>
    <xf numFmtId="180" fontId="4" fillId="0" borderId="84" xfId="44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/>
    </xf>
    <xf numFmtId="2" fontId="4" fillId="0" borderId="84" xfId="0" applyNumberFormat="1" applyFont="1" applyFill="1" applyBorder="1" applyAlignment="1">
      <alignment horizontal="center"/>
    </xf>
    <xf numFmtId="1" fontId="4" fillId="0" borderId="84" xfId="0" applyNumberFormat="1" applyFont="1" applyFill="1" applyBorder="1" applyAlignment="1">
      <alignment horizontal="center"/>
    </xf>
    <xf numFmtId="180" fontId="4" fillId="0" borderId="84" xfId="44" applyNumberFormat="1" applyFont="1" applyFill="1" applyBorder="1" applyAlignment="1">
      <alignment horizontal="center"/>
    </xf>
    <xf numFmtId="180" fontId="4" fillId="0" borderId="85" xfId="44" applyNumberFormat="1" applyFont="1" applyFill="1" applyBorder="1" applyAlignment="1">
      <alignment/>
    </xf>
    <xf numFmtId="0" fontId="4" fillId="0" borderId="86" xfId="0" applyFont="1" applyFill="1" applyBorder="1" applyAlignment="1">
      <alignment horizontal="center"/>
    </xf>
    <xf numFmtId="180" fontId="4" fillId="0" borderId="11" xfId="44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180" fontId="4" fillId="0" borderId="87" xfId="0" applyNumberFormat="1" applyFont="1" applyFill="1" applyBorder="1" applyAlignment="1">
      <alignment/>
    </xf>
    <xf numFmtId="180" fontId="4" fillId="43" borderId="18" xfId="44" applyNumberFormat="1" applyFont="1" applyFill="1" applyBorder="1" applyAlignment="1">
      <alignment vertical="center"/>
    </xf>
    <xf numFmtId="43" fontId="4" fillId="0" borderId="0" xfId="43" applyFont="1" applyFill="1" applyAlignment="1">
      <alignment vertical="center"/>
    </xf>
    <xf numFmtId="43" fontId="12" fillId="0" borderId="0" xfId="43" applyFont="1" applyFill="1" applyAlignment="1">
      <alignment vertical="center"/>
    </xf>
    <xf numFmtId="43" fontId="4" fillId="0" borderId="0" xfId="43" applyFont="1" applyFill="1" applyAlignment="1">
      <alignment vertical="center"/>
    </xf>
    <xf numFmtId="43" fontId="14" fillId="0" borderId="0" xfId="43" applyFont="1" applyFill="1" applyAlignment="1">
      <alignment vertical="center"/>
    </xf>
    <xf numFmtId="1" fontId="56" fillId="0" borderId="18" xfId="0" applyNumberFormat="1" applyFont="1" applyFill="1" applyBorder="1" applyAlignment="1">
      <alignment horizontal="center" vertical="center"/>
    </xf>
    <xf numFmtId="1" fontId="56" fillId="0" borderId="29" xfId="0" applyNumberFormat="1" applyFont="1" applyFill="1" applyBorder="1" applyAlignment="1">
      <alignment horizontal="center" vertical="center"/>
    </xf>
    <xf numFmtId="180" fontId="4" fillId="0" borderId="89" xfId="0" applyNumberFormat="1" applyFont="1" applyFill="1" applyBorder="1" applyAlignment="1">
      <alignment vertical="center"/>
    </xf>
    <xf numFmtId="0" fontId="56" fillId="44" borderId="90" xfId="0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vertical="center"/>
    </xf>
    <xf numFmtId="180" fontId="56" fillId="44" borderId="21" xfId="44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vertical="center"/>
    </xf>
    <xf numFmtId="0" fontId="56" fillId="44" borderId="53" xfId="0" applyFont="1" applyFill="1" applyBorder="1" applyAlignment="1">
      <alignment horizontal="center" vertical="center"/>
    </xf>
    <xf numFmtId="180" fontId="56" fillId="44" borderId="22" xfId="44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80" fontId="4" fillId="0" borderId="20" xfId="44" applyNumberFormat="1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horizontal="center" vertical="center"/>
    </xf>
    <xf numFmtId="180" fontId="5" fillId="0" borderId="20" xfId="44" applyNumberFormat="1" applyFont="1" applyFill="1" applyBorder="1" applyAlignment="1">
      <alignment horizontal="center" vertical="center"/>
    </xf>
    <xf numFmtId="180" fontId="5" fillId="0" borderId="20" xfId="44" applyNumberFormat="1" applyFont="1" applyFill="1" applyBorder="1" applyAlignment="1">
      <alignment vertical="center"/>
    </xf>
    <xf numFmtId="180" fontId="5" fillId="0" borderId="80" xfId="44" applyNumberFormat="1" applyFont="1" applyFill="1" applyBorder="1" applyAlignment="1">
      <alignment vertical="center"/>
    </xf>
    <xf numFmtId="180" fontId="5" fillId="0" borderId="8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80" fontId="57" fillId="44" borderId="18" xfId="0" applyNumberFormat="1" applyFont="1" applyFill="1" applyBorder="1" applyAlignment="1">
      <alignment vertical="center"/>
    </xf>
    <xf numFmtId="1" fontId="57" fillId="44" borderId="1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4" fillId="0" borderId="90" xfId="0" applyFont="1" applyFill="1" applyBorder="1" applyAlignment="1">
      <alignment horizontal="right" vertical="center"/>
    </xf>
    <xf numFmtId="180" fontId="4" fillId="0" borderId="21" xfId="44" applyNumberFormat="1" applyFont="1" applyFill="1" applyBorder="1" applyAlignment="1">
      <alignment horizontal="right" vertical="center"/>
    </xf>
    <xf numFmtId="180" fontId="4" fillId="0" borderId="80" xfId="0" applyNumberFormat="1" applyFont="1" applyFill="1" applyBorder="1" applyAlignment="1">
      <alignment vertical="center"/>
    </xf>
    <xf numFmtId="180" fontId="4" fillId="0" borderId="21" xfId="44" applyNumberFormat="1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57" xfId="0" applyFont="1" applyFill="1" applyBorder="1" applyAlignment="1">
      <alignment vertical="center"/>
    </xf>
    <xf numFmtId="180" fontId="57" fillId="0" borderId="29" xfId="44" applyNumberFormat="1" applyFont="1" applyFill="1" applyBorder="1" applyAlignment="1">
      <alignment horizontal="right" vertical="center"/>
    </xf>
    <xf numFmtId="180" fontId="57" fillId="0" borderId="29" xfId="0" applyNumberFormat="1" applyFont="1" applyFill="1" applyBorder="1" applyAlignment="1">
      <alignment vertical="center"/>
    </xf>
    <xf numFmtId="1" fontId="57" fillId="0" borderId="2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80" fontId="57" fillId="0" borderId="58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51" xfId="0" applyFont="1" applyFill="1" applyBorder="1" applyAlignment="1">
      <alignment vertical="center"/>
    </xf>
    <xf numFmtId="180" fontId="57" fillId="0" borderId="18" xfId="44" applyNumberFormat="1" applyFont="1" applyFill="1" applyBorder="1" applyAlignment="1">
      <alignment horizontal="right" vertical="center"/>
    </xf>
    <xf numFmtId="2" fontId="57" fillId="0" borderId="18" xfId="0" applyNumberFormat="1" applyFont="1" applyFill="1" applyBorder="1" applyAlignment="1">
      <alignment horizontal="center" vertical="center"/>
    </xf>
    <xf numFmtId="1" fontId="57" fillId="0" borderId="18" xfId="0" applyNumberFormat="1" applyFont="1" applyFill="1" applyBorder="1" applyAlignment="1">
      <alignment horizontal="center" vertical="center"/>
    </xf>
    <xf numFmtId="180" fontId="57" fillId="0" borderId="18" xfId="44" applyNumberFormat="1" applyFont="1" applyFill="1" applyBorder="1" applyAlignment="1">
      <alignment horizontal="center" vertical="center"/>
    </xf>
    <xf numFmtId="180" fontId="57" fillId="0" borderId="18" xfId="44" applyNumberFormat="1" applyFont="1" applyFill="1" applyBorder="1" applyAlignment="1">
      <alignment vertical="center"/>
    </xf>
    <xf numFmtId="180" fontId="57" fillId="0" borderId="52" xfId="0" applyNumberFormat="1" applyFont="1" applyFill="1" applyBorder="1" applyAlignment="1">
      <alignment vertical="center"/>
    </xf>
    <xf numFmtId="180" fontId="57" fillId="0" borderId="27" xfId="0" applyNumberFormat="1" applyFont="1" applyFill="1" applyBorder="1" applyAlignment="1">
      <alignment vertical="center"/>
    </xf>
    <xf numFmtId="43" fontId="57" fillId="0" borderId="52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80" fontId="57" fillId="44" borderId="18" xfId="44" applyNumberFormat="1" applyFont="1" applyFill="1" applyBorder="1" applyAlignment="1">
      <alignment horizontal="center" vertical="center"/>
    </xf>
    <xf numFmtId="180" fontId="57" fillId="44" borderId="18" xfId="44" applyNumberFormat="1" applyFont="1" applyFill="1" applyBorder="1" applyAlignment="1">
      <alignment vertical="center"/>
    </xf>
    <xf numFmtId="180" fontId="57" fillId="44" borderId="29" xfId="44" applyNumberFormat="1" applyFont="1" applyFill="1" applyBorder="1" applyAlignment="1">
      <alignment horizontal="center" vertical="center"/>
    </xf>
    <xf numFmtId="180" fontId="57" fillId="44" borderId="29" xfId="44" applyNumberFormat="1" applyFont="1" applyFill="1" applyBorder="1" applyAlignment="1">
      <alignment vertical="center"/>
    </xf>
    <xf numFmtId="2" fontId="57" fillId="44" borderId="18" xfId="0" applyNumberFormat="1" applyFont="1" applyFill="1" applyBorder="1" applyAlignment="1">
      <alignment horizontal="center" vertical="center"/>
    </xf>
    <xf numFmtId="2" fontId="57" fillId="44" borderId="29" xfId="0" applyNumberFormat="1" applyFont="1" applyFill="1" applyBorder="1" applyAlignment="1">
      <alignment horizontal="center" vertical="center"/>
    </xf>
    <xf numFmtId="180" fontId="57" fillId="44" borderId="24" xfId="44" applyNumberFormat="1" applyFont="1" applyFill="1" applyBorder="1" applyAlignment="1">
      <alignment vertical="center"/>
    </xf>
    <xf numFmtId="180" fontId="5" fillId="0" borderId="91" xfId="4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180" fontId="5" fillId="0" borderId="22" xfId="44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" fontId="56" fillId="0" borderId="21" xfId="0" applyNumberFormat="1" applyFont="1" applyFill="1" applyBorder="1" applyAlignment="1">
      <alignment horizontal="center" vertical="center"/>
    </xf>
    <xf numFmtId="0" fontId="56" fillId="0" borderId="9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vertical="center"/>
    </xf>
    <xf numFmtId="180" fontId="56" fillId="0" borderId="21" xfId="44" applyNumberFormat="1" applyFont="1" applyFill="1" applyBorder="1" applyAlignment="1">
      <alignment horizontal="right" vertical="center"/>
    </xf>
    <xf numFmtId="180" fontId="57" fillId="0" borderId="18" xfId="0" applyNumberFormat="1" applyFont="1" applyFill="1" applyBorder="1" applyAlignment="1">
      <alignment vertical="center"/>
    </xf>
    <xf numFmtId="2" fontId="57" fillId="0" borderId="21" xfId="0" applyNumberFormat="1" applyFont="1" applyFill="1" applyBorder="1" applyAlignment="1">
      <alignment horizontal="center" vertical="center"/>
    </xf>
    <xf numFmtId="1" fontId="57" fillId="0" borderId="21" xfId="0" applyNumberFormat="1" applyFont="1" applyFill="1" applyBorder="1" applyAlignment="1">
      <alignment horizontal="center" vertical="center"/>
    </xf>
    <xf numFmtId="180" fontId="57" fillId="0" borderId="21" xfId="44" applyNumberFormat="1" applyFont="1" applyFill="1" applyBorder="1" applyAlignment="1">
      <alignment horizontal="center" vertical="center"/>
    </xf>
    <xf numFmtId="180" fontId="57" fillId="0" borderId="21" xfId="44" applyNumberFormat="1" applyFont="1" applyFill="1" applyBorder="1" applyAlignment="1">
      <alignment vertical="center"/>
    </xf>
    <xf numFmtId="0" fontId="57" fillId="0" borderId="80" xfId="0" applyFont="1" applyFill="1" applyBorder="1" applyAlignment="1">
      <alignment horizontal="center" vertical="center"/>
    </xf>
    <xf numFmtId="180" fontId="57" fillId="0" borderId="88" xfId="0" applyNumberFormat="1" applyFont="1" applyFill="1" applyBorder="1" applyAlignment="1">
      <alignment vertical="center"/>
    </xf>
    <xf numFmtId="43" fontId="57" fillId="0" borderId="0" xfId="43" applyFont="1" applyFill="1" applyAlignment="1">
      <alignment vertical="center"/>
    </xf>
    <xf numFmtId="180" fontId="57" fillId="0" borderId="21" xfId="0" applyNumberFormat="1" applyFont="1" applyFill="1" applyBorder="1" applyAlignment="1">
      <alignment vertical="center"/>
    </xf>
    <xf numFmtId="0" fontId="56" fillId="0" borderId="53" xfId="0" applyFont="1" applyFill="1" applyBorder="1" applyAlignment="1">
      <alignment horizontal="center" vertical="center"/>
    </xf>
    <xf numFmtId="180" fontId="56" fillId="0" borderId="22" xfId="44" applyNumberFormat="1" applyFont="1" applyFill="1" applyBorder="1" applyAlignment="1">
      <alignment horizontal="right" vertical="center"/>
    </xf>
    <xf numFmtId="1" fontId="56" fillId="0" borderId="22" xfId="0" applyNumberFormat="1" applyFont="1" applyFill="1" applyBorder="1" applyAlignment="1">
      <alignment horizontal="center" vertical="center"/>
    </xf>
    <xf numFmtId="180" fontId="57" fillId="0" borderId="22" xfId="44" applyNumberFormat="1" applyFont="1" applyFill="1" applyBorder="1" applyAlignment="1">
      <alignment horizontal="center" vertical="center"/>
    </xf>
    <xf numFmtId="180" fontId="57" fillId="0" borderId="63" xfId="44" applyNumberFormat="1" applyFont="1" applyFill="1" applyBorder="1" applyAlignment="1">
      <alignment vertical="center"/>
    </xf>
    <xf numFmtId="1" fontId="5" fillId="45" borderId="18" xfId="0" applyNumberFormat="1" applyFont="1" applyFill="1" applyBorder="1" applyAlignment="1">
      <alignment horizontal="center" vertical="center"/>
    </xf>
    <xf numFmtId="180" fontId="5" fillId="45" borderId="18" xfId="44" applyNumberFormat="1" applyFont="1" applyFill="1" applyBorder="1" applyAlignment="1">
      <alignment horizontal="center" vertical="center"/>
    </xf>
    <xf numFmtId="180" fontId="5" fillId="45" borderId="18" xfId="44" applyNumberFormat="1" applyFont="1" applyFill="1" applyBorder="1" applyAlignment="1">
      <alignment vertical="center"/>
    </xf>
    <xf numFmtId="1" fontId="5" fillId="45" borderId="29" xfId="0" applyNumberFormat="1" applyFont="1" applyFill="1" applyBorder="1" applyAlignment="1">
      <alignment horizontal="center" vertical="center"/>
    </xf>
    <xf numFmtId="180" fontId="5" fillId="45" borderId="29" xfId="44" applyNumberFormat="1" applyFont="1" applyFill="1" applyBorder="1" applyAlignment="1">
      <alignment horizontal="center" vertical="center"/>
    </xf>
    <xf numFmtId="180" fontId="5" fillId="45" borderId="29" xfId="44" applyNumberFormat="1" applyFont="1" applyFill="1" applyBorder="1" applyAlignment="1">
      <alignment vertical="center"/>
    </xf>
    <xf numFmtId="180" fontId="5" fillId="45" borderId="52" xfId="0" applyNumberFormat="1" applyFont="1" applyFill="1" applyBorder="1" applyAlignment="1">
      <alignment vertical="center"/>
    </xf>
    <xf numFmtId="43" fontId="5" fillId="45" borderId="52" xfId="0" applyNumberFormat="1" applyFont="1" applyFill="1" applyBorder="1" applyAlignment="1">
      <alignment vertical="center"/>
    </xf>
    <xf numFmtId="180" fontId="5" fillId="45" borderId="58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43" fontId="0" fillId="0" borderId="0" xfId="43" applyFont="1" applyFill="1" applyAlignment="1">
      <alignment vertical="center"/>
    </xf>
    <xf numFmtId="43" fontId="0" fillId="0" borderId="0" xfId="43" applyFont="1" applyFill="1" applyBorder="1" applyAlignment="1">
      <alignment vertical="center"/>
    </xf>
    <xf numFmtId="43" fontId="4" fillId="0" borderId="0" xfId="43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vertical="center"/>
    </xf>
    <xf numFmtId="43" fontId="4" fillId="0" borderId="18" xfId="43" applyFont="1" applyFill="1" applyBorder="1" applyAlignment="1">
      <alignment vertical="center"/>
    </xf>
    <xf numFmtId="43" fontId="57" fillId="0" borderId="18" xfId="43" applyFont="1" applyFill="1" applyBorder="1" applyAlignment="1">
      <alignment vertical="center"/>
    </xf>
    <xf numFmtId="165" fontId="57" fillId="0" borderId="18" xfId="0" applyNumberFormat="1" applyFont="1" applyFill="1" applyBorder="1" applyAlignment="1">
      <alignment vertical="center"/>
    </xf>
    <xf numFmtId="0" fontId="5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3" fontId="57" fillId="0" borderId="29" xfId="43" applyFont="1" applyFill="1" applyBorder="1" applyAlignment="1">
      <alignment vertical="center"/>
    </xf>
    <xf numFmtId="180" fontId="4" fillId="45" borderId="29" xfId="0" applyNumberFormat="1" applyFont="1" applyFill="1" applyBorder="1" applyAlignment="1">
      <alignment vertical="center"/>
    </xf>
    <xf numFmtId="180" fontId="5" fillId="0" borderId="18" xfId="44" applyNumberFormat="1" applyFont="1" applyFill="1" applyBorder="1" applyAlignment="1">
      <alignment horizontal="center" vertical="center"/>
    </xf>
    <xf numFmtId="180" fontId="5" fillId="0" borderId="18" xfId="44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18" xfId="0" applyFont="1" applyFill="1" applyBorder="1" applyAlignment="1">
      <alignment horizontal="center" vertical="center"/>
    </xf>
    <xf numFmtId="43" fontId="0" fillId="0" borderId="22" xfId="43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165" fontId="57" fillId="0" borderId="29" xfId="0" applyNumberFormat="1" applyFont="1" applyFill="1" applyBorder="1" applyAlignment="1">
      <alignment vertical="center"/>
    </xf>
    <xf numFmtId="180" fontId="57" fillId="0" borderId="0" xfId="0" applyNumberFormat="1" applyFont="1" applyFill="1" applyAlignment="1">
      <alignment vertical="center"/>
    </xf>
    <xf numFmtId="0" fontId="56" fillId="0" borderId="22" xfId="0" applyFont="1" applyFill="1" applyBorder="1" applyAlignment="1">
      <alignment vertical="center"/>
    </xf>
    <xf numFmtId="180" fontId="56" fillId="0" borderId="18" xfId="0" applyNumberFormat="1" applyFont="1" applyFill="1" applyBorder="1" applyAlignment="1">
      <alignment vertical="center"/>
    </xf>
    <xf numFmtId="2" fontId="56" fillId="0" borderId="22" xfId="0" applyNumberFormat="1" applyFont="1" applyFill="1" applyBorder="1" applyAlignment="1">
      <alignment horizontal="center" vertical="center"/>
    </xf>
    <xf numFmtId="180" fontId="56" fillId="0" borderId="22" xfId="44" applyNumberFormat="1" applyFont="1" applyFill="1" applyBorder="1" applyAlignment="1">
      <alignment horizontal="center" vertical="center"/>
    </xf>
    <xf numFmtId="180" fontId="56" fillId="0" borderId="63" xfId="44" applyNumberFormat="1" applyFont="1" applyFill="1" applyBorder="1" applyAlignment="1">
      <alignment vertical="center"/>
    </xf>
    <xf numFmtId="180" fontId="56" fillId="0" borderId="40" xfId="44" applyNumberFormat="1" applyFont="1" applyFill="1" applyBorder="1" applyAlignment="1">
      <alignment vertical="center"/>
    </xf>
    <xf numFmtId="180" fontId="56" fillId="0" borderId="52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43" fontId="56" fillId="0" borderId="0" xfId="43" applyFont="1" applyFill="1" applyAlignment="1">
      <alignment vertical="center"/>
    </xf>
    <xf numFmtId="180" fontId="4" fillId="12" borderId="52" xfId="0" applyNumberFormat="1" applyFont="1" applyFill="1" applyBorder="1" applyAlignment="1">
      <alignment vertical="center"/>
    </xf>
    <xf numFmtId="180" fontId="4" fillId="12" borderId="89" xfId="0" applyNumberFormat="1" applyFont="1" applyFill="1" applyBorder="1" applyAlignment="1">
      <alignment vertical="center"/>
    </xf>
    <xf numFmtId="180" fontId="4" fillId="12" borderId="74" xfId="0" applyNumberFormat="1" applyFont="1" applyFill="1" applyBorder="1" applyAlignment="1">
      <alignment vertical="center"/>
    </xf>
    <xf numFmtId="180" fontId="4" fillId="12" borderId="82" xfId="0" applyNumberFormat="1" applyFont="1" applyFill="1" applyBorder="1" applyAlignment="1">
      <alignment vertical="center"/>
    </xf>
    <xf numFmtId="180" fontId="4" fillId="46" borderId="58" xfId="0" applyNumberFormat="1" applyFont="1" applyFill="1" applyBorder="1" applyAlignment="1">
      <alignment vertical="center"/>
    </xf>
    <xf numFmtId="180" fontId="4" fillId="46" borderId="52" xfId="0" applyNumberFormat="1" applyFont="1" applyFill="1" applyBorder="1" applyAlignment="1">
      <alignment vertical="center"/>
    </xf>
    <xf numFmtId="43" fontId="4" fillId="46" borderId="52" xfId="0" applyNumberFormat="1" applyFont="1" applyFill="1" applyBorder="1" applyAlignment="1">
      <alignment vertical="center"/>
    </xf>
    <xf numFmtId="180" fontId="4" fillId="47" borderId="52" xfId="0" applyNumberFormat="1" applyFont="1" applyFill="1" applyBorder="1" applyAlignment="1">
      <alignment vertical="center"/>
    </xf>
    <xf numFmtId="1" fontId="56" fillId="44" borderId="22" xfId="0" applyNumberFormat="1" applyFont="1" applyFill="1" applyBorder="1" applyAlignment="1">
      <alignment horizontal="center" vertical="center"/>
    </xf>
    <xf numFmtId="1" fontId="57" fillId="44" borderId="22" xfId="0" applyNumberFormat="1" applyFont="1" applyFill="1" applyBorder="1" applyAlignment="1">
      <alignment horizontal="center" vertical="center"/>
    </xf>
    <xf numFmtId="180" fontId="56" fillId="0" borderId="58" xfId="0" applyNumberFormat="1" applyFont="1" applyFill="1" applyBorder="1" applyAlignment="1">
      <alignment vertical="center"/>
    </xf>
    <xf numFmtId="43" fontId="56" fillId="0" borderId="52" xfId="0" applyNumberFormat="1" applyFont="1" applyFill="1" applyBorder="1" applyAlignment="1">
      <alignment vertical="center"/>
    </xf>
    <xf numFmtId="0" fontId="56" fillId="0" borderId="53" xfId="0" applyFont="1" applyFill="1" applyBorder="1" applyAlignment="1">
      <alignment horizontal="right" vertical="center"/>
    </xf>
    <xf numFmtId="0" fontId="4" fillId="0" borderId="84" xfId="0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180" fontId="4" fillId="0" borderId="11" xfId="44" applyNumberFormat="1" applyFont="1" applyFill="1" applyBorder="1" applyAlignment="1">
      <alignment horizontal="right" vertical="center"/>
    </xf>
    <xf numFmtId="2" fontId="4" fillId="0" borderId="9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0" fontId="4" fillId="0" borderId="11" xfId="44" applyNumberFormat="1" applyFont="1" applyFill="1" applyBorder="1" applyAlignment="1">
      <alignment horizontal="center" vertical="center"/>
    </xf>
    <xf numFmtId="1" fontId="57" fillId="44" borderId="21" xfId="0" applyNumberFormat="1" applyFont="1" applyFill="1" applyBorder="1" applyAlignment="1">
      <alignment horizontal="center" vertical="center"/>
    </xf>
    <xf numFmtId="0" fontId="57" fillId="44" borderId="21" xfId="0" applyFont="1" applyFill="1" applyBorder="1" applyAlignment="1">
      <alignment vertical="center"/>
    </xf>
    <xf numFmtId="2" fontId="57" fillId="44" borderId="21" xfId="0" applyNumberFormat="1" applyFont="1" applyFill="1" applyBorder="1" applyAlignment="1">
      <alignment horizontal="center" vertical="center"/>
    </xf>
    <xf numFmtId="180" fontId="57" fillId="44" borderId="21" xfId="44" applyNumberFormat="1" applyFont="1" applyFill="1" applyBorder="1" applyAlignment="1">
      <alignment horizontal="center" vertical="center"/>
    </xf>
    <xf numFmtId="180" fontId="57" fillId="44" borderId="21" xfId="44" applyNumberFormat="1" applyFont="1" applyFill="1" applyBorder="1" applyAlignment="1">
      <alignment vertical="center"/>
    </xf>
    <xf numFmtId="180" fontId="57" fillId="44" borderId="58" xfId="0" applyNumberFormat="1" applyFont="1" applyFill="1" applyBorder="1" applyAlignment="1">
      <alignment vertical="center"/>
    </xf>
    <xf numFmtId="1" fontId="56" fillId="44" borderId="21" xfId="0" applyNumberFormat="1" applyFont="1" applyFill="1" applyBorder="1" applyAlignment="1">
      <alignment horizontal="center" vertical="center"/>
    </xf>
    <xf numFmtId="0" fontId="56" fillId="44" borderId="93" xfId="0" applyFont="1" applyFill="1" applyBorder="1" applyAlignment="1">
      <alignment horizontal="center" vertical="center"/>
    </xf>
    <xf numFmtId="0" fontId="57" fillId="44" borderId="94" xfId="0" applyFont="1" applyFill="1" applyBorder="1" applyAlignment="1">
      <alignment vertical="center"/>
    </xf>
    <xf numFmtId="180" fontId="4" fillId="0" borderId="12" xfId="44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80" fontId="4" fillId="0" borderId="12" xfId="44" applyNumberFormat="1" applyFont="1" applyFill="1" applyBorder="1" applyAlignment="1">
      <alignment horizontal="center" vertical="center"/>
    </xf>
    <xf numFmtId="180" fontId="4" fillId="0" borderId="12" xfId="44" applyNumberFormat="1" applyFont="1" applyFill="1" applyBorder="1" applyAlignment="1">
      <alignment vertical="center"/>
    </xf>
    <xf numFmtId="180" fontId="4" fillId="0" borderId="11" xfId="44" applyNumberFormat="1" applyFont="1" applyFill="1" applyBorder="1" applyAlignment="1">
      <alignment vertical="center"/>
    </xf>
    <xf numFmtId="180" fontId="4" fillId="0" borderId="95" xfId="0" applyNumberFormat="1" applyFont="1" applyFill="1" applyBorder="1" applyAlignment="1">
      <alignment vertical="center"/>
    </xf>
    <xf numFmtId="180" fontId="56" fillId="44" borderId="21" xfId="0" applyNumberFormat="1" applyFont="1" applyFill="1" applyBorder="1" applyAlignment="1">
      <alignment vertical="center"/>
    </xf>
    <xf numFmtId="0" fontId="57" fillId="44" borderId="80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80" fontId="4" fillId="45" borderId="18" xfId="44" applyNumberFormat="1" applyFont="1" applyFill="1" applyBorder="1" applyAlignment="1">
      <alignment horizontal="center" vertical="center"/>
    </xf>
    <xf numFmtId="180" fontId="4" fillId="45" borderId="27" xfId="0" applyNumberFormat="1" applyFont="1" applyFill="1" applyBorder="1" applyAlignment="1">
      <alignment vertical="center"/>
    </xf>
    <xf numFmtId="180" fontId="4" fillId="45" borderId="29" xfId="44" applyNumberFormat="1" applyFont="1" applyFill="1" applyBorder="1" applyAlignment="1">
      <alignment horizontal="center" vertical="center"/>
    </xf>
    <xf numFmtId="43" fontId="60" fillId="0" borderId="18" xfId="43" applyFont="1" applyFill="1" applyBorder="1" applyAlignment="1">
      <alignment vertical="center"/>
    </xf>
    <xf numFmtId="43" fontId="60" fillId="0" borderId="0" xfId="43" applyFont="1" applyFill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180" fontId="60" fillId="0" borderId="18" xfId="0" applyNumberFormat="1" applyFont="1" applyFill="1" applyBorder="1" applyAlignment="1">
      <alignment vertical="center"/>
    </xf>
    <xf numFmtId="1" fontId="5" fillId="9" borderId="18" xfId="0" applyNumberFormat="1" applyFont="1" applyFill="1" applyBorder="1" applyAlignment="1">
      <alignment horizontal="center" vertical="center"/>
    </xf>
    <xf numFmtId="180" fontId="4" fillId="9" borderId="18" xfId="44" applyNumberFormat="1" applyFont="1" applyFill="1" applyBorder="1" applyAlignment="1">
      <alignment horizontal="center" vertical="center"/>
    </xf>
    <xf numFmtId="180" fontId="4" fillId="9" borderId="18" xfId="44" applyNumberFormat="1" applyFont="1" applyFill="1" applyBorder="1" applyAlignment="1">
      <alignment vertical="center"/>
    </xf>
    <xf numFmtId="1" fontId="5" fillId="9" borderId="29" xfId="0" applyNumberFormat="1" applyFont="1" applyFill="1" applyBorder="1" applyAlignment="1">
      <alignment horizontal="center" vertical="center"/>
    </xf>
    <xf numFmtId="180" fontId="4" fillId="9" borderId="29" xfId="44" applyNumberFormat="1" applyFont="1" applyFill="1" applyBorder="1" applyAlignment="1">
      <alignment horizontal="center" vertical="center"/>
    </xf>
    <xf numFmtId="180" fontId="4" fillId="9" borderId="29" xfId="44" applyNumberFormat="1" applyFont="1" applyFill="1" applyBorder="1" applyAlignment="1">
      <alignment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zoomScalePageLayoutView="0" workbookViewId="0" topLeftCell="A1">
      <selection activeCell="A45" sqref="A45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17.14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ht="30">
      <c r="A1" s="10" t="s">
        <v>0</v>
      </c>
      <c r="B1" s="6" t="s">
        <v>1</v>
      </c>
      <c r="C1" s="6" t="s">
        <v>2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11</v>
      </c>
      <c r="J1" s="6" t="s">
        <v>12</v>
      </c>
      <c r="K1" s="6" t="s">
        <v>6</v>
      </c>
      <c r="L1" s="7" t="s">
        <v>13</v>
      </c>
      <c r="M1" s="58" t="s">
        <v>6</v>
      </c>
      <c r="N1" s="8" t="s">
        <v>14</v>
      </c>
    </row>
    <row r="2" spans="1:14" ht="12.75">
      <c r="A2" s="45">
        <v>4425594</v>
      </c>
      <c r="B2" s="46" t="s">
        <v>7</v>
      </c>
      <c r="C2" s="46" t="s">
        <v>15</v>
      </c>
      <c r="D2" s="47">
        <v>413165</v>
      </c>
      <c r="E2" s="15">
        <v>413165</v>
      </c>
      <c r="F2" s="48">
        <v>4.8</v>
      </c>
      <c r="G2" s="49">
        <v>2004</v>
      </c>
      <c r="H2" s="49">
        <v>2023</v>
      </c>
      <c r="I2" s="50">
        <v>32365.92</v>
      </c>
      <c r="J2" s="15">
        <v>12684.41</v>
      </c>
      <c r="K2" s="34" t="s">
        <v>42</v>
      </c>
      <c r="L2" s="15">
        <f>I2-J2</f>
        <v>19681.51</v>
      </c>
      <c r="M2" s="35" t="s">
        <v>42</v>
      </c>
      <c r="N2" s="55">
        <f>E2-J2</f>
        <v>400480.59</v>
      </c>
    </row>
    <row r="3" spans="1:14" ht="12.75">
      <c r="A3" s="45">
        <v>44034300</v>
      </c>
      <c r="B3" s="46" t="s">
        <v>7</v>
      </c>
      <c r="C3" s="46" t="s">
        <v>15</v>
      </c>
      <c r="D3" s="47">
        <v>154937.07</v>
      </c>
      <c r="E3" s="15">
        <v>145636.18</v>
      </c>
      <c r="F3" s="48">
        <v>5.25</v>
      </c>
      <c r="G3" s="49">
        <v>2002.2021</v>
      </c>
      <c r="H3" s="49">
        <v>2021</v>
      </c>
      <c r="I3" s="50">
        <v>12605.48</v>
      </c>
      <c r="J3" s="15">
        <v>5024.68</v>
      </c>
      <c r="K3" s="34"/>
      <c r="L3" s="15">
        <f aca="true" t="shared" si="0" ref="L3:L66">I3-J3</f>
        <v>7580.799999999999</v>
      </c>
      <c r="M3" s="35"/>
      <c r="N3" s="56">
        <f aca="true" t="shared" si="1" ref="N3:N66">E3-J3</f>
        <v>140611.5</v>
      </c>
    </row>
    <row r="4" spans="1:14" ht="12.75">
      <c r="A4" s="45">
        <v>4370159</v>
      </c>
      <c r="B4" s="46" t="s">
        <v>7</v>
      </c>
      <c r="C4" s="46" t="s">
        <v>15</v>
      </c>
      <c r="D4" s="47">
        <v>103291.38</v>
      </c>
      <c r="E4" s="15">
        <v>94204.92</v>
      </c>
      <c r="F4" s="48">
        <v>5.75</v>
      </c>
      <c r="G4" s="49">
        <v>2001</v>
      </c>
      <c r="H4" s="49">
        <v>2020</v>
      </c>
      <c r="I4" s="50">
        <v>8757.58</v>
      </c>
      <c r="J4" s="15">
        <v>3388.81</v>
      </c>
      <c r="K4" s="34"/>
      <c r="L4" s="15">
        <f t="shared" si="0"/>
        <v>5368.77</v>
      </c>
      <c r="M4" s="35"/>
      <c r="N4" s="56">
        <f t="shared" si="1"/>
        <v>90816.11</v>
      </c>
    </row>
    <row r="5" spans="1:14" ht="12.75">
      <c r="A5" s="51" t="s">
        <v>16</v>
      </c>
      <c r="B5" s="46" t="s">
        <v>7</v>
      </c>
      <c r="C5" s="46" t="s">
        <v>15</v>
      </c>
      <c r="D5" s="47">
        <v>77468.53</v>
      </c>
      <c r="E5" s="15">
        <v>70653.7</v>
      </c>
      <c r="F5" s="48">
        <v>5.75</v>
      </c>
      <c r="G5" s="49">
        <v>2001</v>
      </c>
      <c r="H5" s="49">
        <v>2020</v>
      </c>
      <c r="I5" s="50">
        <v>6568.17</v>
      </c>
      <c r="J5" s="15">
        <v>2541.61</v>
      </c>
      <c r="K5" s="34"/>
      <c r="L5" s="15">
        <f t="shared" si="0"/>
        <v>4026.56</v>
      </c>
      <c r="M5" s="35"/>
      <c r="N5" s="56">
        <f t="shared" si="1"/>
        <v>68112.09</v>
      </c>
    </row>
    <row r="6" spans="1:14" ht="12.75">
      <c r="A6" s="45">
        <v>4354048</v>
      </c>
      <c r="B6" s="46" t="s">
        <v>7</v>
      </c>
      <c r="C6" s="46" t="s">
        <v>15</v>
      </c>
      <c r="D6" s="47">
        <v>179245.09</v>
      </c>
      <c r="E6" s="15">
        <v>143261.41</v>
      </c>
      <c r="F6" s="48">
        <v>0</v>
      </c>
      <c r="G6" s="49">
        <v>2000</v>
      </c>
      <c r="H6" s="49">
        <v>2019</v>
      </c>
      <c r="I6" s="50">
        <v>12653.88</v>
      </c>
      <c r="J6" s="15">
        <v>8953.84</v>
      </c>
      <c r="K6" s="34">
        <v>3030</v>
      </c>
      <c r="L6" s="15">
        <f t="shared" si="0"/>
        <v>3700.039999999999</v>
      </c>
      <c r="M6" s="35">
        <v>283</v>
      </c>
      <c r="N6" s="56">
        <f t="shared" si="1"/>
        <v>134307.57</v>
      </c>
    </row>
    <row r="7" spans="1:14" ht="12.75">
      <c r="A7" s="51" t="s">
        <v>17</v>
      </c>
      <c r="B7" s="46" t="s">
        <v>7</v>
      </c>
      <c r="C7" s="46" t="s">
        <v>18</v>
      </c>
      <c r="D7" s="47">
        <v>6197.48</v>
      </c>
      <c r="E7" s="15">
        <v>5123.98</v>
      </c>
      <c r="F7" s="48">
        <v>6.5</v>
      </c>
      <c r="G7" s="49">
        <v>1998</v>
      </c>
      <c r="H7" s="49">
        <v>2017</v>
      </c>
      <c r="I7" s="50">
        <v>562.98</v>
      </c>
      <c r="J7" s="15">
        <v>233.65</v>
      </c>
      <c r="K7" s="34"/>
      <c r="L7" s="15">
        <f t="shared" si="0"/>
        <v>329.33000000000004</v>
      </c>
      <c r="M7" s="35"/>
      <c r="N7" s="56">
        <f t="shared" si="1"/>
        <v>4890.33</v>
      </c>
    </row>
    <row r="8" spans="1:14" ht="12.75">
      <c r="A8" s="45">
        <v>4317939</v>
      </c>
      <c r="B8" s="46" t="s">
        <v>7</v>
      </c>
      <c r="C8" s="46" t="s">
        <v>18</v>
      </c>
      <c r="D8" s="47">
        <v>148739.59</v>
      </c>
      <c r="E8" s="15">
        <v>122975.91</v>
      </c>
      <c r="F8" s="48">
        <v>6.5</v>
      </c>
      <c r="G8" s="49">
        <v>1998</v>
      </c>
      <c r="H8" s="49">
        <v>2017</v>
      </c>
      <c r="I8" s="50">
        <v>13511.4</v>
      </c>
      <c r="J8" s="15">
        <v>5607.63</v>
      </c>
      <c r="K8" s="34"/>
      <c r="L8" s="15">
        <f t="shared" si="0"/>
        <v>7903.7699999999995</v>
      </c>
      <c r="M8" s="35"/>
      <c r="N8" s="56">
        <f t="shared" si="1"/>
        <v>117368.28</v>
      </c>
    </row>
    <row r="9" spans="1:14" ht="12.75">
      <c r="A9" s="45">
        <v>3020984</v>
      </c>
      <c r="B9" s="46" t="s">
        <v>7</v>
      </c>
      <c r="C9" s="46" t="s">
        <v>15</v>
      </c>
      <c r="D9" s="47">
        <v>4916.27</v>
      </c>
      <c r="E9" s="15">
        <v>2705.6</v>
      </c>
      <c r="F9" s="48">
        <v>6.5</v>
      </c>
      <c r="G9" s="49">
        <v>1978</v>
      </c>
      <c r="H9" s="49">
        <v>2012</v>
      </c>
      <c r="I9" s="50">
        <v>401.8</v>
      </c>
      <c r="J9" s="15">
        <v>229.61</v>
      </c>
      <c r="K9" s="34"/>
      <c r="L9" s="15">
        <f t="shared" si="0"/>
        <v>172.19</v>
      </c>
      <c r="M9" s="35"/>
      <c r="N9" s="56">
        <f t="shared" si="1"/>
        <v>2475.99</v>
      </c>
    </row>
    <row r="10" spans="1:14" ht="12.75">
      <c r="A10" s="45">
        <v>647568</v>
      </c>
      <c r="B10" s="46" t="s">
        <v>7</v>
      </c>
      <c r="C10" s="46" t="s">
        <v>15</v>
      </c>
      <c r="D10" s="47">
        <v>17636.83</v>
      </c>
      <c r="E10" s="15">
        <v>8951.9</v>
      </c>
      <c r="F10" s="48">
        <v>6.5</v>
      </c>
      <c r="G10" s="49">
        <v>1976</v>
      </c>
      <c r="H10" s="49">
        <v>2011</v>
      </c>
      <c r="I10" s="50">
        <v>1452.72</v>
      </c>
      <c r="J10" s="15">
        <v>884.99</v>
      </c>
      <c r="K10" s="34"/>
      <c r="L10" s="15">
        <f t="shared" si="0"/>
        <v>567.73</v>
      </c>
      <c r="M10" s="35"/>
      <c r="N10" s="56">
        <f t="shared" si="1"/>
        <v>8066.91</v>
      </c>
    </row>
    <row r="11" spans="1:14" ht="12.75">
      <c r="A11" s="46">
        <v>96661</v>
      </c>
      <c r="B11" s="46" t="s">
        <v>19</v>
      </c>
      <c r="C11" s="46" t="s">
        <v>15</v>
      </c>
      <c r="D11" s="47">
        <v>154937.07</v>
      </c>
      <c r="E11" s="15">
        <v>36455.78</v>
      </c>
      <c r="F11" s="52">
        <v>3.382</v>
      </c>
      <c r="G11" s="49">
        <v>1997</v>
      </c>
      <c r="H11" s="53">
        <v>2005</v>
      </c>
      <c r="I11" s="50">
        <v>19623.45</v>
      </c>
      <c r="J11" s="15">
        <v>18227.89</v>
      </c>
      <c r="K11" s="54">
        <v>3040</v>
      </c>
      <c r="L11" s="15">
        <f t="shared" si="0"/>
        <v>1395.5600000000013</v>
      </c>
      <c r="M11" s="35"/>
      <c r="N11" s="56">
        <f t="shared" si="1"/>
        <v>18227.89</v>
      </c>
    </row>
    <row r="12" spans="1:14" ht="12.75">
      <c r="A12" s="29"/>
      <c r="B12" s="29"/>
      <c r="C12" s="29"/>
      <c r="D12" s="30"/>
      <c r="E12" s="38" t="s">
        <v>42</v>
      </c>
      <c r="F12" s="32"/>
      <c r="G12" s="33"/>
      <c r="H12" s="36" t="s">
        <v>43</v>
      </c>
      <c r="I12" s="61">
        <f>SUM(I2:I11)</f>
        <v>108503.37999999999</v>
      </c>
      <c r="J12" s="38">
        <f>SUM(J2:J11)</f>
        <v>57777.119999999995</v>
      </c>
      <c r="K12" s="62"/>
      <c r="L12" s="41">
        <f t="shared" si="0"/>
        <v>50726.259999999995</v>
      </c>
      <c r="M12" s="81"/>
      <c r="N12" s="57">
        <f>SUM(N2:N11)</f>
        <v>985357.2600000001</v>
      </c>
    </row>
    <row r="13" spans="1:14" ht="12.75">
      <c r="A13" s="46">
        <v>4367661</v>
      </c>
      <c r="B13" s="46" t="s">
        <v>20</v>
      </c>
      <c r="C13" s="46" t="s">
        <v>21</v>
      </c>
      <c r="D13" s="47">
        <v>51645.69</v>
      </c>
      <c r="E13" s="15">
        <v>47102.45</v>
      </c>
      <c r="F13" s="48">
        <v>5.75</v>
      </c>
      <c r="G13" s="49">
        <v>2001</v>
      </c>
      <c r="H13" s="49">
        <v>2020</v>
      </c>
      <c r="I13" s="50">
        <v>4378.78</v>
      </c>
      <c r="J13" s="43">
        <v>1694.41</v>
      </c>
      <c r="K13" s="64"/>
      <c r="L13" s="42">
        <f t="shared" si="0"/>
        <v>2684.37</v>
      </c>
      <c r="M13" s="27"/>
      <c r="N13" s="44">
        <f t="shared" si="1"/>
        <v>45408.03999999999</v>
      </c>
    </row>
    <row r="14" spans="1:14" ht="12.75">
      <c r="A14" s="46">
        <v>4363580</v>
      </c>
      <c r="B14" s="46" t="s">
        <v>20</v>
      </c>
      <c r="C14" s="46" t="s">
        <v>22</v>
      </c>
      <c r="D14" s="47">
        <v>77468.53</v>
      </c>
      <c r="E14" s="15">
        <v>70653.7</v>
      </c>
      <c r="F14" s="48">
        <v>5.75</v>
      </c>
      <c r="G14" s="49">
        <v>2001</v>
      </c>
      <c r="H14" s="49">
        <v>2020</v>
      </c>
      <c r="I14" s="50">
        <v>6568.17</v>
      </c>
      <c r="J14" s="43">
        <v>2541.61</v>
      </c>
      <c r="K14" s="65"/>
      <c r="L14" s="42">
        <f t="shared" si="0"/>
        <v>4026.56</v>
      </c>
      <c r="M14" s="66"/>
      <c r="N14" s="44">
        <f t="shared" si="1"/>
        <v>68112.09</v>
      </c>
    </row>
    <row r="15" spans="1:14" ht="12.75">
      <c r="A15" s="59" t="s">
        <v>23</v>
      </c>
      <c r="B15" s="46" t="s">
        <v>20</v>
      </c>
      <c r="C15" s="46" t="s">
        <v>24</v>
      </c>
      <c r="D15" s="47">
        <v>55628.72</v>
      </c>
      <c r="E15" s="15">
        <v>45698.21</v>
      </c>
      <c r="F15" s="48">
        <v>4.85</v>
      </c>
      <c r="G15" s="49">
        <v>1999</v>
      </c>
      <c r="H15" s="49">
        <v>2018</v>
      </c>
      <c r="I15" s="50">
        <v>4323.16</v>
      </c>
      <c r="J15" s="43">
        <v>2132.34</v>
      </c>
      <c r="K15" s="65">
        <v>3030</v>
      </c>
      <c r="L15" s="42">
        <f t="shared" si="0"/>
        <v>2190.8199999999997</v>
      </c>
      <c r="M15" s="66">
        <v>518</v>
      </c>
      <c r="N15" s="44">
        <f t="shared" si="1"/>
        <v>43565.869999999995</v>
      </c>
    </row>
    <row r="16" spans="1:14" ht="12.75">
      <c r="A16" s="46">
        <v>4271244</v>
      </c>
      <c r="B16" s="46" t="s">
        <v>20</v>
      </c>
      <c r="C16" s="46" t="s">
        <v>25</v>
      </c>
      <c r="D16" s="47">
        <v>69205.22</v>
      </c>
      <c r="E16" s="15">
        <v>52910.79</v>
      </c>
      <c r="F16" s="48">
        <v>6.5</v>
      </c>
      <c r="G16" s="49">
        <v>1996</v>
      </c>
      <c r="H16" s="49">
        <v>2015</v>
      </c>
      <c r="I16" s="50">
        <v>6417.96</v>
      </c>
      <c r="J16" s="43">
        <v>3027.17</v>
      </c>
      <c r="K16" s="65"/>
      <c r="L16" s="42">
        <f t="shared" si="0"/>
        <v>3390.79</v>
      </c>
      <c r="M16" s="66"/>
      <c r="N16" s="44">
        <f t="shared" si="1"/>
        <v>49883.62</v>
      </c>
    </row>
    <row r="17" spans="1:14" ht="12.75">
      <c r="A17" s="46">
        <v>627655</v>
      </c>
      <c r="B17" s="46" t="s">
        <v>20</v>
      </c>
      <c r="C17" s="46" t="s">
        <v>22</v>
      </c>
      <c r="D17" s="47">
        <v>2210.44</v>
      </c>
      <c r="E17" s="15">
        <v>262.85</v>
      </c>
      <c r="F17" s="48">
        <v>4.85</v>
      </c>
      <c r="G17" s="49">
        <v>1971</v>
      </c>
      <c r="H17" s="53">
        <v>2005</v>
      </c>
      <c r="I17" s="50">
        <v>139.38</v>
      </c>
      <c r="J17" s="15">
        <v>128.32</v>
      </c>
      <c r="K17" s="63"/>
      <c r="L17" s="42">
        <f t="shared" si="0"/>
        <v>11.060000000000002</v>
      </c>
      <c r="M17" s="67"/>
      <c r="N17" s="44">
        <f t="shared" si="1"/>
        <v>134.53000000000003</v>
      </c>
    </row>
    <row r="18" spans="1:14" ht="12.75">
      <c r="A18" s="29"/>
      <c r="B18" s="29"/>
      <c r="C18" s="29"/>
      <c r="D18" s="30"/>
      <c r="E18" s="31" t="s">
        <v>42</v>
      </c>
      <c r="F18" s="32"/>
      <c r="G18" s="33"/>
      <c r="H18" s="36" t="s">
        <v>43</v>
      </c>
      <c r="I18" s="61">
        <f>SUM(I13:I17)</f>
        <v>21827.45</v>
      </c>
      <c r="J18" s="38">
        <f>SUM(J13:J17)</f>
        <v>9523.85</v>
      </c>
      <c r="K18" s="60"/>
      <c r="L18" s="15">
        <f t="shared" si="0"/>
        <v>12303.6</v>
      </c>
      <c r="M18" s="81"/>
      <c r="N18" s="78">
        <f>SUM(N13:N17)</f>
        <v>207104.15</v>
      </c>
    </row>
    <row r="19" spans="1:14" ht="12.75">
      <c r="A19" s="68">
        <v>22851</v>
      </c>
      <c r="B19" s="69" t="s">
        <v>26</v>
      </c>
      <c r="C19" s="69" t="s">
        <v>27</v>
      </c>
      <c r="D19" s="70">
        <v>77468.53</v>
      </c>
      <c r="E19" s="71">
        <v>70141.21</v>
      </c>
      <c r="F19" s="72">
        <v>5</v>
      </c>
      <c r="G19" s="73">
        <v>2002</v>
      </c>
      <c r="H19" s="73">
        <v>2016</v>
      </c>
      <c r="I19" s="74">
        <v>7402.53</v>
      </c>
      <c r="J19" s="75">
        <v>3944.16</v>
      </c>
      <c r="K19" s="34">
        <v>3040</v>
      </c>
      <c r="L19" s="15">
        <f t="shared" si="0"/>
        <v>3458.37</v>
      </c>
      <c r="M19" s="27">
        <v>645</v>
      </c>
      <c r="N19" s="9">
        <f t="shared" si="1"/>
        <v>66197.05</v>
      </c>
    </row>
    <row r="20" spans="1:14" ht="12.75">
      <c r="A20" s="29"/>
      <c r="B20" s="29"/>
      <c r="C20" s="29"/>
      <c r="D20" s="30"/>
      <c r="E20" s="38" t="s">
        <v>42</v>
      </c>
      <c r="F20" s="32"/>
      <c r="G20" s="36"/>
      <c r="H20" s="36" t="s">
        <v>43</v>
      </c>
      <c r="I20" s="61">
        <f>SUM(I19)</f>
        <v>7402.53</v>
      </c>
      <c r="J20" s="38">
        <f>SUM(J19)</f>
        <v>3944.16</v>
      </c>
      <c r="K20" s="81"/>
      <c r="L20" s="41">
        <f t="shared" si="0"/>
        <v>3458.37</v>
      </c>
      <c r="M20" s="81"/>
      <c r="N20" s="80">
        <f>SUM(N19)</f>
        <v>66197.05</v>
      </c>
    </row>
    <row r="21" spans="1:14" ht="12.75">
      <c r="A21" s="59" t="s">
        <v>28</v>
      </c>
      <c r="B21" s="46" t="s">
        <v>20</v>
      </c>
      <c r="C21" s="46" t="s">
        <v>29</v>
      </c>
      <c r="D21" s="47">
        <v>17559.53</v>
      </c>
      <c r="E21" s="15">
        <v>16014.83</v>
      </c>
      <c r="F21" s="48">
        <v>5.75</v>
      </c>
      <c r="G21" s="49">
        <v>2001</v>
      </c>
      <c r="H21" s="49">
        <v>2020</v>
      </c>
      <c r="I21" s="50">
        <v>1488.78</v>
      </c>
      <c r="J21" s="15">
        <v>576.1</v>
      </c>
      <c r="K21" s="34"/>
      <c r="L21" s="15">
        <f t="shared" si="0"/>
        <v>912.68</v>
      </c>
      <c r="M21" s="35"/>
      <c r="N21" s="55">
        <f t="shared" si="1"/>
        <v>15438.73</v>
      </c>
    </row>
    <row r="22" spans="1:14" ht="12.75">
      <c r="A22" s="45">
        <v>4364549</v>
      </c>
      <c r="B22" s="46" t="s">
        <v>20</v>
      </c>
      <c r="C22" s="46" t="s">
        <v>29</v>
      </c>
      <c r="D22" s="47">
        <v>137377.54</v>
      </c>
      <c r="E22" s="15">
        <v>125292.55</v>
      </c>
      <c r="F22" s="48">
        <v>5.75</v>
      </c>
      <c r="G22" s="49">
        <v>2001</v>
      </c>
      <c r="H22" s="49">
        <v>2020</v>
      </c>
      <c r="I22" s="50">
        <v>11647.56</v>
      </c>
      <c r="J22" s="15">
        <v>4507.12</v>
      </c>
      <c r="K22" s="34"/>
      <c r="L22" s="15">
        <f t="shared" si="0"/>
        <v>7140.44</v>
      </c>
      <c r="M22" s="35"/>
      <c r="N22" s="56">
        <f t="shared" si="1"/>
        <v>120785.43000000001</v>
      </c>
    </row>
    <row r="23" spans="1:14" ht="12.75">
      <c r="A23" s="45">
        <v>4297871</v>
      </c>
      <c r="B23" s="46" t="s">
        <v>20</v>
      </c>
      <c r="C23" s="46" t="s">
        <v>29</v>
      </c>
      <c r="D23" s="47">
        <v>129114.22</v>
      </c>
      <c r="E23" s="15">
        <v>102811.14</v>
      </c>
      <c r="F23" s="48">
        <v>6.5</v>
      </c>
      <c r="G23" s="49">
        <v>1997</v>
      </c>
      <c r="H23" s="49">
        <v>2016</v>
      </c>
      <c r="I23" s="50">
        <v>11835.58</v>
      </c>
      <c r="J23" s="15">
        <v>5236.59</v>
      </c>
      <c r="K23" s="34"/>
      <c r="L23" s="15">
        <f t="shared" si="0"/>
        <v>6598.99</v>
      </c>
      <c r="M23" s="35"/>
      <c r="N23" s="56">
        <f t="shared" si="1"/>
        <v>97574.55</v>
      </c>
    </row>
    <row r="24" spans="1:14" ht="12.75">
      <c r="A24" s="45">
        <v>4268507</v>
      </c>
      <c r="B24" s="46" t="s">
        <v>20</v>
      </c>
      <c r="C24" s="46" t="s">
        <v>29</v>
      </c>
      <c r="D24" s="47">
        <v>77468.53</v>
      </c>
      <c r="E24" s="15">
        <v>59228.51</v>
      </c>
      <c r="F24" s="48">
        <v>6.5</v>
      </c>
      <c r="G24" s="49">
        <v>1996</v>
      </c>
      <c r="H24" s="49">
        <v>2015</v>
      </c>
      <c r="I24" s="50">
        <v>7184.3</v>
      </c>
      <c r="J24" s="15">
        <v>3388.62</v>
      </c>
      <c r="K24" s="34"/>
      <c r="L24" s="15">
        <f t="shared" si="0"/>
        <v>3795.6800000000003</v>
      </c>
      <c r="M24" s="35"/>
      <c r="N24" s="56">
        <f t="shared" si="1"/>
        <v>55839.89</v>
      </c>
    </row>
    <row r="25" spans="1:14" ht="12.75">
      <c r="A25" s="51" t="s">
        <v>30</v>
      </c>
      <c r="B25" s="46" t="s">
        <v>20</v>
      </c>
      <c r="C25" s="46" t="s">
        <v>29</v>
      </c>
      <c r="D25" s="47">
        <v>74741.64</v>
      </c>
      <c r="E25" s="15">
        <v>49272.76</v>
      </c>
      <c r="F25" s="48">
        <v>6.5</v>
      </c>
      <c r="G25" s="49">
        <v>1981</v>
      </c>
      <c r="H25" s="49">
        <v>2015</v>
      </c>
      <c r="I25" s="50">
        <v>5976.68</v>
      </c>
      <c r="J25" s="15">
        <v>2819.03</v>
      </c>
      <c r="K25" s="34">
        <v>3030</v>
      </c>
      <c r="L25" s="15">
        <f t="shared" si="0"/>
        <v>3157.65</v>
      </c>
      <c r="M25" s="35">
        <v>820</v>
      </c>
      <c r="N25" s="56">
        <f t="shared" si="1"/>
        <v>46453.73</v>
      </c>
    </row>
    <row r="26" spans="1:14" ht="12.75">
      <c r="A26" s="45">
        <v>687881</v>
      </c>
      <c r="B26" s="46" t="s">
        <v>20</v>
      </c>
      <c r="C26" s="46" t="s">
        <v>29</v>
      </c>
      <c r="D26" s="47">
        <v>10329.14</v>
      </c>
      <c r="E26" s="15">
        <v>5242.72</v>
      </c>
      <c r="F26" s="48">
        <v>6.5</v>
      </c>
      <c r="G26" s="49">
        <v>1977</v>
      </c>
      <c r="H26" s="49">
        <v>2011</v>
      </c>
      <c r="I26" s="50">
        <v>850.8</v>
      </c>
      <c r="J26" s="15">
        <v>518.31</v>
      </c>
      <c r="K26" s="34"/>
      <c r="L26" s="15">
        <f t="shared" si="0"/>
        <v>332.49</v>
      </c>
      <c r="M26" s="35"/>
      <c r="N26" s="56">
        <f t="shared" si="1"/>
        <v>4724.41</v>
      </c>
    </row>
    <row r="27" spans="1:14" ht="12.75">
      <c r="A27" s="51" t="s">
        <v>31</v>
      </c>
      <c r="B27" s="46" t="s">
        <v>20</v>
      </c>
      <c r="C27" s="46" t="s">
        <v>29</v>
      </c>
      <c r="D27" s="47">
        <v>5087.74</v>
      </c>
      <c r="E27" s="15">
        <v>1704.46</v>
      </c>
      <c r="F27" s="48">
        <v>5</v>
      </c>
      <c r="G27" s="49">
        <v>1975</v>
      </c>
      <c r="H27" s="49">
        <v>2009</v>
      </c>
      <c r="I27" s="50">
        <v>331.66</v>
      </c>
      <c r="J27" s="15">
        <v>250.58</v>
      </c>
      <c r="K27" s="34"/>
      <c r="L27" s="15">
        <f t="shared" si="0"/>
        <v>81.08000000000001</v>
      </c>
      <c r="M27" s="35"/>
      <c r="N27" s="56">
        <f t="shared" si="1"/>
        <v>1453.88</v>
      </c>
    </row>
    <row r="28" spans="1:14" ht="12.75">
      <c r="A28" s="45">
        <v>3033507</v>
      </c>
      <c r="B28" s="46" t="s">
        <v>20</v>
      </c>
      <c r="C28" s="46" t="s">
        <v>29</v>
      </c>
      <c r="D28" s="47">
        <v>23240.56</v>
      </c>
      <c r="E28" s="15">
        <v>13704.8</v>
      </c>
      <c r="F28" s="48">
        <v>6.5</v>
      </c>
      <c r="G28" s="49">
        <v>1979</v>
      </c>
      <c r="H28" s="49">
        <v>2013</v>
      </c>
      <c r="I28" s="50">
        <v>1885.2</v>
      </c>
      <c r="J28" s="15">
        <v>1010.55</v>
      </c>
      <c r="K28" s="34"/>
      <c r="L28" s="15">
        <f t="shared" si="0"/>
        <v>874.6500000000001</v>
      </c>
      <c r="M28" s="35"/>
      <c r="N28" s="56">
        <f t="shared" si="1"/>
        <v>12694.25</v>
      </c>
    </row>
    <row r="29" spans="1:14" ht="12.75">
      <c r="A29" s="46">
        <v>634153</v>
      </c>
      <c r="B29" s="46" t="s">
        <v>20</v>
      </c>
      <c r="C29" s="46" t="s">
        <v>29</v>
      </c>
      <c r="D29" s="47">
        <v>1549.37</v>
      </c>
      <c r="E29" s="15">
        <v>365.59</v>
      </c>
      <c r="F29" s="48">
        <v>5</v>
      </c>
      <c r="G29" s="49">
        <v>1972</v>
      </c>
      <c r="H29" s="49">
        <v>2007</v>
      </c>
      <c r="I29" s="50">
        <v>101.82</v>
      </c>
      <c r="J29" s="15">
        <v>84.82</v>
      </c>
      <c r="K29" s="34"/>
      <c r="L29" s="15">
        <f t="shared" si="0"/>
        <v>17</v>
      </c>
      <c r="M29" s="35"/>
      <c r="N29" s="76">
        <f t="shared" si="1"/>
        <v>280.77</v>
      </c>
    </row>
    <row r="30" spans="1:14" ht="12.75">
      <c r="A30" s="29"/>
      <c r="B30" s="29"/>
      <c r="C30" s="29"/>
      <c r="D30" s="30"/>
      <c r="E30" s="31" t="s">
        <v>42</v>
      </c>
      <c r="F30" s="32"/>
      <c r="G30" s="33"/>
      <c r="H30" s="36" t="s">
        <v>43</v>
      </c>
      <c r="I30" s="61">
        <f>SUM(I21:I29)</f>
        <v>41302.38</v>
      </c>
      <c r="J30" s="38">
        <f>SUM(J21:J29)</f>
        <v>18391.72</v>
      </c>
      <c r="K30" s="81"/>
      <c r="L30" s="41">
        <f t="shared" si="0"/>
        <v>22910.659999999996</v>
      </c>
      <c r="M30" s="81"/>
      <c r="N30" s="80">
        <f>SUM(N21:N29)</f>
        <v>355245.64</v>
      </c>
    </row>
    <row r="31" spans="1:14" ht="12.75">
      <c r="A31" s="59" t="s">
        <v>32</v>
      </c>
      <c r="B31" s="46" t="s">
        <v>20</v>
      </c>
      <c r="C31" s="46" t="s">
        <v>33</v>
      </c>
      <c r="D31" s="47">
        <v>13180.75</v>
      </c>
      <c r="E31" s="15">
        <v>10897.68</v>
      </c>
      <c r="F31" s="48">
        <v>6.5</v>
      </c>
      <c r="G31" s="49">
        <v>1998</v>
      </c>
      <c r="H31" s="49">
        <v>2017</v>
      </c>
      <c r="I31" s="50">
        <v>1197.32</v>
      </c>
      <c r="J31" s="15">
        <v>496.93</v>
      </c>
      <c r="K31" s="34"/>
      <c r="L31" s="15">
        <f t="shared" si="0"/>
        <v>700.3899999999999</v>
      </c>
      <c r="M31" s="35"/>
      <c r="N31" s="77">
        <f t="shared" si="1"/>
        <v>10400.75</v>
      </c>
    </row>
    <row r="32" spans="1:14" ht="12.75">
      <c r="A32" s="46">
        <v>4317937</v>
      </c>
      <c r="B32" s="46" t="s">
        <v>20</v>
      </c>
      <c r="C32" s="46" t="s">
        <v>33</v>
      </c>
      <c r="D32" s="47">
        <v>90110.63</v>
      </c>
      <c r="E32" s="15">
        <v>74502.26</v>
      </c>
      <c r="F32" s="48">
        <v>6.5</v>
      </c>
      <c r="G32" s="49">
        <v>1998</v>
      </c>
      <c r="H32" s="49">
        <v>2017</v>
      </c>
      <c r="I32" s="50">
        <v>8185.58</v>
      </c>
      <c r="J32" s="15">
        <v>3397.26</v>
      </c>
      <c r="K32" s="34"/>
      <c r="L32" s="15">
        <f t="shared" si="0"/>
        <v>4788.32</v>
      </c>
      <c r="M32" s="35"/>
      <c r="N32" s="77">
        <f t="shared" si="1"/>
        <v>71105</v>
      </c>
    </row>
    <row r="33" spans="1:14" ht="12.75">
      <c r="A33" s="59" t="s">
        <v>34</v>
      </c>
      <c r="B33" s="46" t="s">
        <v>20</v>
      </c>
      <c r="C33" s="46" t="s">
        <v>33</v>
      </c>
      <c r="D33" s="47">
        <v>51645.69</v>
      </c>
      <c r="E33" s="15">
        <v>42699.97</v>
      </c>
      <c r="F33" s="48">
        <v>6.5</v>
      </c>
      <c r="G33" s="49">
        <v>1998</v>
      </c>
      <c r="H33" s="49">
        <v>2017</v>
      </c>
      <c r="I33" s="50">
        <v>4691.46</v>
      </c>
      <c r="J33" s="15">
        <v>1947.1</v>
      </c>
      <c r="K33" s="34"/>
      <c r="L33" s="15">
        <f t="shared" si="0"/>
        <v>2744.36</v>
      </c>
      <c r="M33" s="35"/>
      <c r="N33" s="77">
        <f t="shared" si="1"/>
        <v>40752.87</v>
      </c>
    </row>
    <row r="34" spans="1:14" ht="12.75">
      <c r="A34" s="46">
        <v>4297902</v>
      </c>
      <c r="B34" s="46" t="s">
        <v>20</v>
      </c>
      <c r="C34" s="46" t="s">
        <v>33</v>
      </c>
      <c r="D34" s="47">
        <v>51645.69</v>
      </c>
      <c r="E34" s="15">
        <v>41124.47</v>
      </c>
      <c r="F34" s="48">
        <v>6.5</v>
      </c>
      <c r="G34" s="49">
        <v>1997</v>
      </c>
      <c r="H34" s="49">
        <v>2016</v>
      </c>
      <c r="I34" s="50">
        <v>4734.24</v>
      </c>
      <c r="J34" s="15">
        <v>2094.63</v>
      </c>
      <c r="K34" s="34"/>
      <c r="L34" s="15">
        <f t="shared" si="0"/>
        <v>2639.6099999999997</v>
      </c>
      <c r="M34" s="35"/>
      <c r="N34" s="77">
        <f t="shared" si="1"/>
        <v>39029.840000000004</v>
      </c>
    </row>
    <row r="35" spans="1:14" ht="12.75">
      <c r="A35" s="46">
        <v>4142025</v>
      </c>
      <c r="B35" s="46" t="s">
        <v>20</v>
      </c>
      <c r="C35" s="46" t="s">
        <v>33</v>
      </c>
      <c r="D35" s="47">
        <v>6722.63</v>
      </c>
      <c r="E35" s="15">
        <v>3194.79</v>
      </c>
      <c r="F35" s="48">
        <v>6.5</v>
      </c>
      <c r="G35" s="49">
        <v>1990</v>
      </c>
      <c r="H35" s="49">
        <v>2009</v>
      </c>
      <c r="I35" s="50">
        <v>651.52</v>
      </c>
      <c r="J35" s="15">
        <v>451.08</v>
      </c>
      <c r="K35" s="34"/>
      <c r="L35" s="15">
        <f t="shared" si="0"/>
        <v>200.44</v>
      </c>
      <c r="M35" s="35"/>
      <c r="N35" s="77">
        <f t="shared" si="1"/>
        <v>2743.71</v>
      </c>
    </row>
    <row r="36" spans="1:14" ht="12.75">
      <c r="A36" s="59" t="s">
        <v>35</v>
      </c>
      <c r="B36" s="46" t="s">
        <v>20</v>
      </c>
      <c r="C36" s="46" t="s">
        <v>33</v>
      </c>
      <c r="D36" s="47">
        <v>96568.75</v>
      </c>
      <c r="E36" s="15">
        <v>45892.42</v>
      </c>
      <c r="F36" s="48">
        <v>6.5</v>
      </c>
      <c r="G36" s="49">
        <v>1990</v>
      </c>
      <c r="H36" s="49">
        <v>2009</v>
      </c>
      <c r="I36" s="50">
        <v>9359.04</v>
      </c>
      <c r="J36" s="15">
        <v>6479.65</v>
      </c>
      <c r="K36" s="34">
        <v>3030</v>
      </c>
      <c r="L36" s="15">
        <f t="shared" si="0"/>
        <v>2879.3900000000012</v>
      </c>
      <c r="M36" s="35">
        <v>820</v>
      </c>
      <c r="N36" s="77">
        <f t="shared" si="1"/>
        <v>39412.77</v>
      </c>
    </row>
    <row r="37" spans="1:14" ht="12.75">
      <c r="A37" s="46">
        <v>3078427</v>
      </c>
      <c r="B37" s="46" t="s">
        <v>20</v>
      </c>
      <c r="C37" s="46" t="s">
        <v>33</v>
      </c>
      <c r="D37" s="47">
        <v>144.61</v>
      </c>
      <c r="E37" s="15">
        <v>95.31</v>
      </c>
      <c r="F37" s="48">
        <v>6.5</v>
      </c>
      <c r="G37" s="49">
        <v>1981</v>
      </c>
      <c r="H37" s="49">
        <v>2015</v>
      </c>
      <c r="I37" s="50">
        <v>11.56</v>
      </c>
      <c r="J37" s="15">
        <v>5.45</v>
      </c>
      <c r="K37" s="34"/>
      <c r="L37" s="15">
        <f t="shared" si="0"/>
        <v>6.11</v>
      </c>
      <c r="M37" s="35"/>
      <c r="N37" s="77">
        <f t="shared" si="1"/>
        <v>89.86</v>
      </c>
    </row>
    <row r="38" spans="1:14" ht="12.75">
      <c r="A38" s="59" t="s">
        <v>36</v>
      </c>
      <c r="B38" s="46" t="s">
        <v>20</v>
      </c>
      <c r="C38" s="46" t="s">
        <v>33</v>
      </c>
      <c r="D38" s="47">
        <v>3088.81</v>
      </c>
      <c r="E38" s="15">
        <v>1699.9</v>
      </c>
      <c r="F38" s="48">
        <v>6.5</v>
      </c>
      <c r="G38" s="49">
        <v>1978</v>
      </c>
      <c r="H38" s="49">
        <v>2012</v>
      </c>
      <c r="I38" s="50">
        <v>252.44</v>
      </c>
      <c r="J38" s="15">
        <v>144.26</v>
      </c>
      <c r="K38" s="34"/>
      <c r="L38" s="15">
        <f t="shared" si="0"/>
        <v>108.18</v>
      </c>
      <c r="M38" s="35"/>
      <c r="N38" s="77">
        <f t="shared" si="1"/>
        <v>1555.64</v>
      </c>
    </row>
    <row r="39" spans="1:14" ht="12.75">
      <c r="A39" s="46">
        <v>675829</v>
      </c>
      <c r="B39" s="46" t="s">
        <v>20</v>
      </c>
      <c r="C39" s="46" t="s">
        <v>33</v>
      </c>
      <c r="D39" s="47">
        <v>2091.65</v>
      </c>
      <c r="E39" s="15">
        <v>858.7</v>
      </c>
      <c r="F39" s="48">
        <v>6.5</v>
      </c>
      <c r="G39" s="49">
        <v>1975</v>
      </c>
      <c r="H39" s="49">
        <v>2009</v>
      </c>
      <c r="I39" s="50">
        <v>175.12</v>
      </c>
      <c r="J39" s="15">
        <v>121.24</v>
      </c>
      <c r="K39" s="34"/>
      <c r="L39" s="15">
        <f t="shared" si="0"/>
        <v>53.88000000000001</v>
      </c>
      <c r="M39" s="35"/>
      <c r="N39" s="77">
        <f t="shared" si="1"/>
        <v>737.46</v>
      </c>
    </row>
    <row r="40" spans="1:14" ht="12.75">
      <c r="A40" s="59" t="s">
        <v>37</v>
      </c>
      <c r="B40" s="46" t="s">
        <v>20</v>
      </c>
      <c r="C40" s="46" t="s">
        <v>33</v>
      </c>
      <c r="D40" s="47">
        <v>841.65</v>
      </c>
      <c r="E40" s="15">
        <v>427.17</v>
      </c>
      <c r="F40" s="48">
        <v>6.5</v>
      </c>
      <c r="G40" s="49">
        <v>1977</v>
      </c>
      <c r="H40" s="49">
        <v>2011</v>
      </c>
      <c r="I40" s="50">
        <v>69.32</v>
      </c>
      <c r="J40" s="15">
        <v>42.23</v>
      </c>
      <c r="K40" s="34"/>
      <c r="L40" s="15">
        <f t="shared" si="0"/>
        <v>27.089999999999996</v>
      </c>
      <c r="M40" s="35"/>
      <c r="N40" s="77">
        <f t="shared" si="1"/>
        <v>384.94</v>
      </c>
    </row>
    <row r="41" spans="1:14" ht="12.75">
      <c r="A41" s="46">
        <v>630827</v>
      </c>
      <c r="B41" s="46" t="s">
        <v>20</v>
      </c>
      <c r="C41" s="46" t="s">
        <v>33</v>
      </c>
      <c r="D41" s="47">
        <v>1420.74</v>
      </c>
      <c r="E41" s="15">
        <v>258.55</v>
      </c>
      <c r="F41" s="48">
        <v>5</v>
      </c>
      <c r="G41" s="49">
        <v>1972</v>
      </c>
      <c r="H41" s="49">
        <v>2006</v>
      </c>
      <c r="I41" s="50">
        <v>93.76</v>
      </c>
      <c r="J41" s="15">
        <v>82</v>
      </c>
      <c r="K41" s="34"/>
      <c r="L41" s="15">
        <f t="shared" si="0"/>
        <v>11.760000000000005</v>
      </c>
      <c r="M41" s="35"/>
      <c r="N41" s="77">
        <f t="shared" si="1"/>
        <v>176.55</v>
      </c>
    </row>
    <row r="42" spans="1:14" ht="12.75">
      <c r="A42" s="46">
        <v>619296</v>
      </c>
      <c r="B42" s="46" t="s">
        <v>20</v>
      </c>
      <c r="C42" s="46" t="s">
        <v>33</v>
      </c>
      <c r="D42" s="47">
        <v>710.37</v>
      </c>
      <c r="E42" s="15">
        <v>129.26</v>
      </c>
      <c r="F42" s="48">
        <v>5</v>
      </c>
      <c r="G42" s="49">
        <v>1972</v>
      </c>
      <c r="H42" s="53">
        <v>2006</v>
      </c>
      <c r="I42" s="50">
        <v>46.9</v>
      </c>
      <c r="J42" s="15">
        <v>41</v>
      </c>
      <c r="K42" s="34"/>
      <c r="L42" s="15">
        <f t="shared" si="0"/>
        <v>5.899999999999999</v>
      </c>
      <c r="M42" s="35"/>
      <c r="N42" s="77">
        <f t="shared" si="1"/>
        <v>88.25999999999999</v>
      </c>
    </row>
    <row r="43" spans="1:14" ht="12.75">
      <c r="A43" s="29"/>
      <c r="B43" s="29"/>
      <c r="C43" s="29"/>
      <c r="D43" s="30"/>
      <c r="E43" s="38" t="s">
        <v>42</v>
      </c>
      <c r="F43" s="32"/>
      <c r="G43" s="33"/>
      <c r="H43" s="36" t="s">
        <v>43</v>
      </c>
      <c r="I43" s="61">
        <f>SUM(I31:I42)</f>
        <v>29468.26</v>
      </c>
      <c r="J43" s="38">
        <f>SUM(J31:J42)</f>
        <v>15302.83</v>
      </c>
      <c r="K43" s="81"/>
      <c r="L43" s="41">
        <f t="shared" si="0"/>
        <v>14165.429999999998</v>
      </c>
      <c r="M43" s="81"/>
      <c r="N43" s="80">
        <f>SUM(N31:N42)</f>
        <v>206477.64999999997</v>
      </c>
    </row>
    <row r="44" spans="1:14" ht="12.75">
      <c r="A44" s="46">
        <v>4444717</v>
      </c>
      <c r="B44" s="46" t="s">
        <v>20</v>
      </c>
      <c r="C44" s="46" t="s">
        <v>38</v>
      </c>
      <c r="D44" s="47">
        <v>98000</v>
      </c>
      <c r="E44" s="15">
        <v>98000</v>
      </c>
      <c r="F44" s="48">
        <v>4.75</v>
      </c>
      <c r="G44" s="49">
        <v>2004</v>
      </c>
      <c r="H44" s="49">
        <v>2023</v>
      </c>
      <c r="I44" s="50">
        <v>7644.44</v>
      </c>
      <c r="J44" s="15">
        <v>3024.94</v>
      </c>
      <c r="K44" s="34"/>
      <c r="L44" s="15">
        <f t="shared" si="0"/>
        <v>4619.5</v>
      </c>
      <c r="M44" s="35"/>
      <c r="N44" s="77">
        <f t="shared" si="1"/>
        <v>94975.06</v>
      </c>
    </row>
    <row r="45" spans="1:14" ht="12.75">
      <c r="A45" s="46">
        <v>4388738</v>
      </c>
      <c r="B45" s="46" t="s">
        <v>20</v>
      </c>
      <c r="C45" s="46" t="s">
        <v>38</v>
      </c>
      <c r="D45" s="47">
        <v>103291.38</v>
      </c>
      <c r="E45" s="15">
        <v>97250.49</v>
      </c>
      <c r="F45" s="48">
        <v>5.5</v>
      </c>
      <c r="G45" s="49">
        <v>2002</v>
      </c>
      <c r="H45" s="49">
        <v>2021</v>
      </c>
      <c r="I45" s="50">
        <v>8579.7</v>
      </c>
      <c r="J45" s="15">
        <v>3275.34</v>
      </c>
      <c r="K45" s="34"/>
      <c r="L45" s="15">
        <f t="shared" si="0"/>
        <v>5304.360000000001</v>
      </c>
      <c r="M45" s="35"/>
      <c r="N45" s="77">
        <f t="shared" si="1"/>
        <v>93975.15000000001</v>
      </c>
    </row>
    <row r="46" spans="1:14" ht="12.75">
      <c r="A46" s="46">
        <v>4363583</v>
      </c>
      <c r="B46" s="46" t="s">
        <v>20</v>
      </c>
      <c r="C46" s="46" t="s">
        <v>38</v>
      </c>
      <c r="D46" s="47">
        <v>49982.94</v>
      </c>
      <c r="E46" s="15">
        <v>45494.36</v>
      </c>
      <c r="F46" s="48">
        <v>5.75</v>
      </c>
      <c r="G46" s="49">
        <v>2001</v>
      </c>
      <c r="H46" s="49">
        <v>2020</v>
      </c>
      <c r="I46" s="50">
        <v>4229.3</v>
      </c>
      <c r="J46" s="15">
        <v>1636.56</v>
      </c>
      <c r="K46" s="34">
        <v>3030</v>
      </c>
      <c r="L46" s="15">
        <f t="shared" si="0"/>
        <v>2592.7400000000002</v>
      </c>
      <c r="M46" s="35">
        <v>910</v>
      </c>
      <c r="N46" s="77">
        <f t="shared" si="1"/>
        <v>43857.8</v>
      </c>
    </row>
    <row r="47" spans="1:14" ht="12.75">
      <c r="A47" s="46">
        <v>4317938</v>
      </c>
      <c r="B47" s="46" t="s">
        <v>20</v>
      </c>
      <c r="C47" s="46" t="s">
        <v>38</v>
      </c>
      <c r="D47" s="47">
        <v>50396.44</v>
      </c>
      <c r="E47" s="15">
        <v>41546.37</v>
      </c>
      <c r="F47" s="48">
        <v>6.5</v>
      </c>
      <c r="G47" s="49">
        <v>1998</v>
      </c>
      <c r="H47" s="49">
        <v>2017</v>
      </c>
      <c r="I47" s="50">
        <v>4564.72</v>
      </c>
      <c r="J47" s="15">
        <v>1894.49</v>
      </c>
      <c r="K47" s="34" t="s">
        <v>42</v>
      </c>
      <c r="L47" s="15">
        <f t="shared" si="0"/>
        <v>2670.2300000000005</v>
      </c>
      <c r="M47" s="35" t="s">
        <v>42</v>
      </c>
      <c r="N47" s="77">
        <f t="shared" si="1"/>
        <v>39651.880000000005</v>
      </c>
    </row>
    <row r="48" spans="1:14" ht="12.75">
      <c r="A48" s="46">
        <v>3220585</v>
      </c>
      <c r="B48" s="46" t="s">
        <v>20</v>
      </c>
      <c r="C48" s="46" t="s">
        <v>38</v>
      </c>
      <c r="D48" s="47">
        <v>77468.53</v>
      </c>
      <c r="E48" s="15">
        <v>15257.5</v>
      </c>
      <c r="F48" s="48">
        <v>6.5</v>
      </c>
      <c r="G48" s="49">
        <v>1986</v>
      </c>
      <c r="H48" s="53">
        <v>2005</v>
      </c>
      <c r="I48" s="50">
        <v>8258.5</v>
      </c>
      <c r="J48" s="15">
        <v>7384.85</v>
      </c>
      <c r="K48" s="34" t="s">
        <v>42</v>
      </c>
      <c r="L48" s="15">
        <f t="shared" si="0"/>
        <v>873.6499999999996</v>
      </c>
      <c r="M48" s="35" t="s">
        <v>42</v>
      </c>
      <c r="N48" s="77">
        <f t="shared" si="1"/>
        <v>7872.65</v>
      </c>
    </row>
    <row r="49" spans="1:14" ht="12.75">
      <c r="A49" s="46">
        <v>3174399</v>
      </c>
      <c r="B49" s="46" t="s">
        <v>20</v>
      </c>
      <c r="C49" s="46" t="s">
        <v>38</v>
      </c>
      <c r="D49" s="47">
        <v>80050.82</v>
      </c>
      <c r="E49" s="15">
        <v>8260.54</v>
      </c>
      <c r="F49" s="48">
        <v>6.5</v>
      </c>
      <c r="G49" s="49">
        <v>1985</v>
      </c>
      <c r="H49" s="53">
        <v>2004</v>
      </c>
      <c r="I49" s="50">
        <v>8665.38</v>
      </c>
      <c r="J49" s="15">
        <v>8260.54</v>
      </c>
      <c r="K49" s="34"/>
      <c r="L49" s="15">
        <f t="shared" si="0"/>
        <v>404.8399999999983</v>
      </c>
      <c r="M49" s="35"/>
      <c r="N49" s="77">
        <f t="shared" si="1"/>
        <v>0</v>
      </c>
    </row>
    <row r="50" spans="1:14" ht="12.75">
      <c r="A50" s="37"/>
      <c r="B50" s="29"/>
      <c r="C50" s="29"/>
      <c r="D50" s="30"/>
      <c r="E50" s="38" t="s">
        <v>42</v>
      </c>
      <c r="F50" s="32"/>
      <c r="G50" s="33"/>
      <c r="H50" s="36" t="s">
        <v>43</v>
      </c>
      <c r="I50" s="61">
        <f>SUM(I44:I49)</f>
        <v>41942.04</v>
      </c>
      <c r="J50" s="38">
        <f>SUM(J44:J49)</f>
        <v>25476.72</v>
      </c>
      <c r="K50" s="81"/>
      <c r="L50" s="42">
        <f t="shared" si="0"/>
        <v>16465.32</v>
      </c>
      <c r="M50" s="81"/>
      <c r="N50" s="80">
        <f>SUM(N44:N49)</f>
        <v>280332.54000000004</v>
      </c>
    </row>
    <row r="51" spans="1:14" ht="12.75">
      <c r="A51" s="46">
        <v>4284047</v>
      </c>
      <c r="B51" s="46" t="s">
        <v>20</v>
      </c>
      <c r="C51" s="46" t="s">
        <v>39</v>
      </c>
      <c r="D51" s="47">
        <v>77468.53</v>
      </c>
      <c r="E51" s="15">
        <v>61953.14</v>
      </c>
      <c r="F51" s="48">
        <v>6.5</v>
      </c>
      <c r="G51" s="49">
        <v>1997</v>
      </c>
      <c r="H51" s="49">
        <v>2016</v>
      </c>
      <c r="I51" s="50">
        <v>7132.02</v>
      </c>
      <c r="J51" s="15">
        <v>3155.52</v>
      </c>
      <c r="K51" s="34"/>
      <c r="L51" s="15">
        <f t="shared" si="0"/>
        <v>3976.5000000000005</v>
      </c>
      <c r="M51" s="35"/>
      <c r="N51" s="77">
        <f t="shared" si="1"/>
        <v>58797.62</v>
      </c>
    </row>
    <row r="52" spans="1:14" ht="12.75">
      <c r="A52" s="46">
        <v>649423</v>
      </c>
      <c r="B52" s="46" t="s">
        <v>20</v>
      </c>
      <c r="C52" s="46" t="s">
        <v>39</v>
      </c>
      <c r="D52" s="47">
        <v>897.55</v>
      </c>
      <c r="E52" s="15">
        <v>257.53</v>
      </c>
      <c r="F52" s="48">
        <v>5</v>
      </c>
      <c r="G52" s="49">
        <v>1973</v>
      </c>
      <c r="H52" s="49">
        <v>2008</v>
      </c>
      <c r="I52" s="50">
        <v>58.74</v>
      </c>
      <c r="J52" s="15">
        <v>46.6</v>
      </c>
      <c r="K52" s="34">
        <v>3030</v>
      </c>
      <c r="L52" s="15">
        <f t="shared" si="0"/>
        <v>12.14</v>
      </c>
      <c r="M52" s="35">
        <v>930</v>
      </c>
      <c r="N52" s="77">
        <f t="shared" si="1"/>
        <v>210.92999999999998</v>
      </c>
    </row>
    <row r="53" spans="1:14" ht="12.75">
      <c r="A53" s="46">
        <v>621411</v>
      </c>
      <c r="B53" s="46" t="s">
        <v>20</v>
      </c>
      <c r="C53" s="46" t="s">
        <v>39</v>
      </c>
      <c r="D53" s="47">
        <v>1975.1</v>
      </c>
      <c r="E53" s="15">
        <v>326.68</v>
      </c>
      <c r="F53" s="48">
        <v>5</v>
      </c>
      <c r="G53" s="49">
        <v>1972</v>
      </c>
      <c r="H53" s="53">
        <v>2006</v>
      </c>
      <c r="I53" s="50">
        <v>118.48</v>
      </c>
      <c r="J53" s="15">
        <v>103.62</v>
      </c>
      <c r="K53" s="34"/>
      <c r="L53" s="15">
        <f t="shared" si="0"/>
        <v>14.86</v>
      </c>
      <c r="M53" s="35"/>
      <c r="N53" s="77">
        <f t="shared" si="1"/>
        <v>223.06</v>
      </c>
    </row>
    <row r="54" spans="1:14" ht="12.75">
      <c r="A54" s="29"/>
      <c r="B54" s="29"/>
      <c r="C54" s="29"/>
      <c r="D54" s="30"/>
      <c r="E54" s="38" t="s">
        <v>42</v>
      </c>
      <c r="F54" s="32"/>
      <c r="G54" s="33"/>
      <c r="H54" s="36" t="s">
        <v>43</v>
      </c>
      <c r="I54" s="61">
        <f>SUM(I51:I53)</f>
        <v>7309.24</v>
      </c>
      <c r="J54" s="38">
        <f>SUM(J51:J53)</f>
        <v>3305.74</v>
      </c>
      <c r="K54" s="81"/>
      <c r="L54" s="41">
        <f t="shared" si="0"/>
        <v>4003.5</v>
      </c>
      <c r="M54" s="81"/>
      <c r="N54" s="78">
        <f>SUM(N51:N53)</f>
        <v>59231.61</v>
      </c>
    </row>
    <row r="55" spans="1:14" ht="12.75">
      <c r="A55" s="46">
        <v>38497</v>
      </c>
      <c r="B55" s="46" t="s">
        <v>40</v>
      </c>
      <c r="C55" s="46" t="s">
        <v>41</v>
      </c>
      <c r="D55" s="47">
        <v>130481.69</v>
      </c>
      <c r="E55" s="15">
        <v>105958.23</v>
      </c>
      <c r="F55" s="48">
        <v>6</v>
      </c>
      <c r="G55" s="49">
        <v>2002</v>
      </c>
      <c r="H55" s="49">
        <v>2014</v>
      </c>
      <c r="I55" s="50">
        <v>13239.06</v>
      </c>
      <c r="J55" s="15">
        <v>7077.26</v>
      </c>
      <c r="K55" s="34">
        <v>3040</v>
      </c>
      <c r="L55" s="15">
        <f t="shared" si="0"/>
        <v>6161.799999999999</v>
      </c>
      <c r="M55" s="27">
        <v>950</v>
      </c>
      <c r="N55" s="9">
        <f t="shared" si="1"/>
        <v>98880.97</v>
      </c>
    </row>
    <row r="56" spans="1:14" ht="12.75">
      <c r="A56" s="11"/>
      <c r="B56" s="12"/>
      <c r="C56" s="12"/>
      <c r="D56" s="3"/>
      <c r="E56" s="40" t="s">
        <v>42</v>
      </c>
      <c r="F56" s="13"/>
      <c r="G56" s="25"/>
      <c r="H56" s="28" t="s">
        <v>43</v>
      </c>
      <c r="I56" s="39">
        <f>SUM(I55)</f>
        <v>13239.06</v>
      </c>
      <c r="J56" s="79">
        <f>SUM(J55)</f>
        <v>7077.26</v>
      </c>
      <c r="K56" s="81"/>
      <c r="L56" s="15">
        <f t="shared" si="0"/>
        <v>6161.799999999999</v>
      </c>
      <c r="M56" s="81"/>
      <c r="N56" s="78">
        <f>SUM(N55)</f>
        <v>98880.97</v>
      </c>
    </row>
    <row r="57" spans="1:14" ht="12.75" hidden="1">
      <c r="A57" s="11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9">
        <f t="shared" si="1"/>
        <v>0</v>
      </c>
    </row>
    <row r="58" spans="1:14" ht="12.75" hidden="1">
      <c r="A58" s="11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9">
        <f t="shared" si="1"/>
        <v>0</v>
      </c>
    </row>
    <row r="59" spans="1:14" ht="12.75" hidden="1">
      <c r="A59" s="11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9">
        <f t="shared" si="1"/>
        <v>0</v>
      </c>
    </row>
    <row r="60" spans="1:14" ht="12.75" hidden="1">
      <c r="A60" s="11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9">
        <f t="shared" si="1"/>
        <v>0</v>
      </c>
    </row>
    <row r="61" spans="1:14" ht="12.75" hidden="1">
      <c r="A61" s="11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9">
        <f t="shared" si="1"/>
        <v>0</v>
      </c>
    </row>
    <row r="62" spans="1:14" ht="12.75" hidden="1">
      <c r="A62" s="11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9">
        <f t="shared" si="1"/>
        <v>0</v>
      </c>
    </row>
    <row r="63" spans="1:14" ht="12.75" hidden="1">
      <c r="A63" s="11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9">
        <f t="shared" si="1"/>
        <v>0</v>
      </c>
    </row>
    <row r="64" spans="1:14" ht="12.75" hidden="1">
      <c r="A64" s="11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9">
        <f t="shared" si="1"/>
        <v>0</v>
      </c>
    </row>
    <row r="65" spans="1:14" ht="12.75" hidden="1">
      <c r="A65" s="11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9">
        <f t="shared" si="1"/>
        <v>0</v>
      </c>
    </row>
    <row r="66" spans="1:14" ht="12.75" hidden="1">
      <c r="A66" s="11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9">
        <f t="shared" si="1"/>
        <v>0</v>
      </c>
    </row>
    <row r="67" spans="1:14" ht="12.75" hidden="1">
      <c r="A67" s="11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aca="true" t="shared" si="2" ref="L67:L85">I67-J67</f>
        <v>0</v>
      </c>
      <c r="M67" s="27"/>
      <c r="N67" s="9">
        <f aca="true" t="shared" si="3" ref="N67:N85">E67-J67</f>
        <v>0</v>
      </c>
    </row>
    <row r="68" spans="1:14" ht="12.75" hidden="1">
      <c r="A68" s="11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2"/>
        <v>0</v>
      </c>
      <c r="M68" s="27"/>
      <c r="N68" s="9">
        <f t="shared" si="3"/>
        <v>0</v>
      </c>
    </row>
    <row r="69" spans="1:14" ht="12.75" hidden="1">
      <c r="A69" s="11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9">
        <f t="shared" si="3"/>
        <v>0</v>
      </c>
    </row>
    <row r="70" spans="1:14" ht="12.75" hidden="1">
      <c r="A70" s="11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9">
        <f t="shared" si="3"/>
        <v>0</v>
      </c>
    </row>
    <row r="71" spans="1:14" ht="12.75" hidden="1">
      <c r="A71" s="11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9">
        <f t="shared" si="3"/>
        <v>0</v>
      </c>
    </row>
    <row r="72" spans="1:14" ht="12.75" hidden="1">
      <c r="A72" s="11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9">
        <f t="shared" si="3"/>
        <v>0</v>
      </c>
    </row>
    <row r="73" spans="1:14" ht="12.75" hidden="1">
      <c r="A73" s="11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9">
        <f t="shared" si="3"/>
        <v>0</v>
      </c>
    </row>
    <row r="74" spans="1:14" ht="12.75" hidden="1">
      <c r="A74" s="11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9">
        <f t="shared" si="3"/>
        <v>0</v>
      </c>
    </row>
    <row r="75" spans="1:14" ht="12.75" hidden="1">
      <c r="A75" s="11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9">
        <f t="shared" si="3"/>
        <v>0</v>
      </c>
    </row>
    <row r="76" spans="1:14" ht="12.75" hidden="1">
      <c r="A76" s="11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9">
        <f t="shared" si="3"/>
        <v>0</v>
      </c>
    </row>
    <row r="77" spans="1:14" ht="12.75" hidden="1">
      <c r="A77" s="11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9">
        <f t="shared" si="3"/>
        <v>0</v>
      </c>
    </row>
    <row r="78" spans="1:14" ht="12.75" hidden="1">
      <c r="A78" s="11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9">
        <f t="shared" si="3"/>
        <v>0</v>
      </c>
    </row>
    <row r="79" spans="1:14" ht="12.75" hidden="1">
      <c r="A79" s="11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9">
        <f t="shared" si="3"/>
        <v>0</v>
      </c>
    </row>
    <row r="80" spans="1:14" ht="12.75" hidden="1">
      <c r="A80" s="11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9">
        <f t="shared" si="3"/>
        <v>0</v>
      </c>
    </row>
    <row r="81" spans="1:14" ht="12.75" hidden="1">
      <c r="A81" s="11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9">
        <f t="shared" si="3"/>
        <v>0</v>
      </c>
    </row>
    <row r="82" spans="1:14" ht="12.75" hidden="1">
      <c r="A82" s="11"/>
      <c r="B82" s="12"/>
      <c r="C82" s="12"/>
      <c r="D82" s="3"/>
      <c r="E82" s="4"/>
      <c r="F82" s="13"/>
      <c r="G82" s="25"/>
      <c r="H82" s="25"/>
      <c r="I82" s="5"/>
      <c r="J82" s="4"/>
      <c r="K82" s="14"/>
      <c r="L82" s="15">
        <f t="shared" si="2"/>
        <v>0</v>
      </c>
      <c r="M82" s="27"/>
      <c r="N82" s="9">
        <f t="shared" si="3"/>
        <v>0</v>
      </c>
    </row>
    <row r="83" spans="1:14" ht="12.75" hidden="1">
      <c r="A83" s="11"/>
      <c r="B83" s="12"/>
      <c r="C83" s="12"/>
      <c r="D83" s="3"/>
      <c r="E83" s="4"/>
      <c r="F83" s="13"/>
      <c r="G83" s="25"/>
      <c r="H83" s="25"/>
      <c r="I83" s="5"/>
      <c r="J83" s="4"/>
      <c r="K83" s="14"/>
      <c r="L83" s="15">
        <f t="shared" si="2"/>
        <v>0</v>
      </c>
      <c r="M83" s="27"/>
      <c r="N83" s="9">
        <f t="shared" si="3"/>
        <v>0</v>
      </c>
    </row>
    <row r="84" spans="1:14" ht="12.75" hidden="1">
      <c r="A84" s="11"/>
      <c r="B84" s="12"/>
      <c r="C84" s="12"/>
      <c r="D84" s="3"/>
      <c r="E84" s="4"/>
      <c r="F84" s="13"/>
      <c r="G84" s="25"/>
      <c r="H84" s="25"/>
      <c r="I84" s="5"/>
      <c r="J84" s="4"/>
      <c r="K84" s="14"/>
      <c r="L84" s="15">
        <f t="shared" si="2"/>
        <v>0</v>
      </c>
      <c r="M84" s="27"/>
      <c r="N84" s="9">
        <f t="shared" si="3"/>
        <v>0</v>
      </c>
    </row>
    <row r="85" spans="1:14" ht="12.75">
      <c r="A85" s="11"/>
      <c r="B85" s="12"/>
      <c r="C85" s="12"/>
      <c r="D85" s="3"/>
      <c r="E85" s="4"/>
      <c r="F85" s="13"/>
      <c r="G85" s="25"/>
      <c r="H85" s="25"/>
      <c r="I85" s="5"/>
      <c r="J85" s="4"/>
      <c r="K85" s="14"/>
      <c r="L85" s="15">
        <f t="shared" si="2"/>
        <v>0</v>
      </c>
      <c r="M85" s="27"/>
      <c r="N85" s="9">
        <f t="shared" si="3"/>
        <v>0</v>
      </c>
    </row>
    <row r="86" spans="1:14" ht="13.5" thickBot="1">
      <c r="A86" s="16"/>
      <c r="B86" s="17"/>
      <c r="C86" s="18" t="s">
        <v>8</v>
      </c>
      <c r="D86" s="19">
        <f>SUM(D2:D85)</f>
        <v>3058814.659999999</v>
      </c>
      <c r="E86" s="20">
        <f>SUM(E2:E85)</f>
        <v>2399626.27</v>
      </c>
      <c r="F86" s="21"/>
      <c r="G86" s="21"/>
      <c r="H86" s="21"/>
      <c r="I86" s="22">
        <f>+I12+I18+I20+I30+I43+I50+I54+I56</f>
        <v>270994.34</v>
      </c>
      <c r="J86" s="22">
        <f>+J12+J18+J20+J30+J43+J50+J54+J56</f>
        <v>140799.40000000002</v>
      </c>
      <c r="K86" s="21"/>
      <c r="L86" s="22">
        <f>+L12+L18+L20+L30+L43+L50+L54+L56</f>
        <v>130194.93999999999</v>
      </c>
      <c r="M86" s="26"/>
      <c r="N86" s="22">
        <f>+N12+N18+N20+N30+N43+N50+N54+N56</f>
        <v>2258826.87</v>
      </c>
    </row>
  </sheetData>
  <sheetProtection/>
  <printOptions horizontalCentered="1" vertic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&amp;C
&amp;"Arial,Grassetto"&amp;14RATE AMMORTAMENTO MUTUI ANNO 2004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0" sqref="J20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00390625" style="2" customWidth="1"/>
    <col min="4" max="4" width="12.00390625" style="2" customWidth="1"/>
    <col min="5" max="5" width="13.8515625" style="2" customWidth="1"/>
    <col min="6" max="8" width="9.140625" style="2" customWidth="1"/>
    <col min="9" max="9" width="10.7109375" style="2" customWidth="1"/>
    <col min="10" max="10" width="11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118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123</v>
      </c>
      <c r="F2" s="138" t="s">
        <v>3</v>
      </c>
      <c r="G2" s="138" t="s">
        <v>4</v>
      </c>
      <c r="H2" s="138" t="s">
        <v>5</v>
      </c>
      <c r="I2" s="138" t="s">
        <v>119</v>
      </c>
      <c r="J2" s="138" t="s">
        <v>120</v>
      </c>
      <c r="K2" s="138" t="s">
        <v>6</v>
      </c>
      <c r="L2" s="164" t="s">
        <v>121</v>
      </c>
      <c r="M2" s="138" t="s">
        <v>6</v>
      </c>
      <c r="N2" s="139" t="s">
        <v>122</v>
      </c>
    </row>
    <row r="3" spans="1:14" s="308" customFormat="1" ht="12.75">
      <c r="A3" s="297">
        <v>4425594</v>
      </c>
      <c r="B3" s="298" t="s">
        <v>7</v>
      </c>
      <c r="C3" s="298" t="s">
        <v>15</v>
      </c>
      <c r="D3" s="299">
        <v>413165</v>
      </c>
      <c r="E3" s="300">
        <v>274117.09</v>
      </c>
      <c r="F3" s="301">
        <v>4.8</v>
      </c>
      <c r="G3" s="302">
        <v>2004</v>
      </c>
      <c r="H3" s="302">
        <v>2023</v>
      </c>
      <c r="I3" s="303">
        <v>32365.92</v>
      </c>
      <c r="J3" s="304">
        <f>9604.15+9834.65</f>
        <v>19438.8</v>
      </c>
      <c r="K3" s="305" t="s">
        <v>42</v>
      </c>
      <c r="L3" s="304">
        <f>I3-J3</f>
        <v>12927.119999999999</v>
      </c>
      <c r="M3" s="306" t="s">
        <v>42</v>
      </c>
      <c r="N3" s="307">
        <f>E3-J3</f>
        <v>254678.29000000004</v>
      </c>
    </row>
    <row r="4" spans="1:14" s="308" customFormat="1" ht="12.75">
      <c r="A4" s="297">
        <v>44034300</v>
      </c>
      <c r="B4" s="298" t="s">
        <v>7</v>
      </c>
      <c r="C4" s="298" t="s">
        <v>15</v>
      </c>
      <c r="D4" s="299">
        <v>154937.07</v>
      </c>
      <c r="E4" s="300">
        <v>89498.16</v>
      </c>
      <c r="F4" s="301">
        <v>5.25</v>
      </c>
      <c r="G4" s="302">
        <v>2002.2021</v>
      </c>
      <c r="H4" s="302">
        <v>2021</v>
      </c>
      <c r="I4" s="303">
        <v>12605.48</v>
      </c>
      <c r="J4" s="304">
        <f>3953.42+4057.19</f>
        <v>8010.610000000001</v>
      </c>
      <c r="K4" s="305"/>
      <c r="L4" s="304">
        <f aca="true" t="shared" si="0" ref="L4:L66">I4-J4</f>
        <v>4594.869999999999</v>
      </c>
      <c r="M4" s="306"/>
      <c r="N4" s="307">
        <f aca="true" t="shared" si="1" ref="N4:N66">E4-J4</f>
        <v>81487.55</v>
      </c>
    </row>
    <row r="5" spans="1:14" s="308" customFormat="1" ht="12.75">
      <c r="A5" s="297">
        <v>4370159</v>
      </c>
      <c r="B5" s="298" t="s">
        <v>7</v>
      </c>
      <c r="C5" s="298" t="s">
        <v>15</v>
      </c>
      <c r="D5" s="299">
        <v>103291.38</v>
      </c>
      <c r="E5" s="300">
        <v>55531.63</v>
      </c>
      <c r="F5" s="301">
        <v>5.75</v>
      </c>
      <c r="G5" s="302">
        <v>2001</v>
      </c>
      <c r="H5" s="302">
        <v>2020</v>
      </c>
      <c r="I5" s="303">
        <v>8757.58</v>
      </c>
      <c r="J5" s="304">
        <f>2782.25+2862.24</f>
        <v>5644.49</v>
      </c>
      <c r="K5" s="305"/>
      <c r="L5" s="304">
        <f t="shared" si="0"/>
        <v>3113.09</v>
      </c>
      <c r="M5" s="306"/>
      <c r="N5" s="307">
        <f t="shared" si="1"/>
        <v>49887.14</v>
      </c>
    </row>
    <row r="6" spans="1:14" s="308" customFormat="1" ht="12.75">
      <c r="A6" s="309" t="s">
        <v>16</v>
      </c>
      <c r="B6" s="298" t="s">
        <v>7</v>
      </c>
      <c r="C6" s="298" t="s">
        <v>15</v>
      </c>
      <c r="D6" s="299">
        <v>77468.53</v>
      </c>
      <c r="E6" s="300">
        <v>41648.75</v>
      </c>
      <c r="F6" s="301">
        <v>5.75</v>
      </c>
      <c r="G6" s="302">
        <v>2001</v>
      </c>
      <c r="H6" s="302">
        <v>2020</v>
      </c>
      <c r="I6" s="303">
        <v>6568.18</v>
      </c>
      <c r="J6" s="304">
        <f>2086.69+2146.68</f>
        <v>4233.37</v>
      </c>
      <c r="K6" s="305"/>
      <c r="L6" s="304">
        <f t="shared" si="0"/>
        <v>2334.8100000000004</v>
      </c>
      <c r="M6" s="306"/>
      <c r="N6" s="307">
        <f t="shared" si="1"/>
        <v>37415.38</v>
      </c>
    </row>
    <row r="7" spans="1:14" s="308" customFormat="1" ht="12.75">
      <c r="A7" s="297">
        <v>4354048</v>
      </c>
      <c r="B7" s="298" t="s">
        <v>7</v>
      </c>
      <c r="C7" s="298" t="s">
        <v>15</v>
      </c>
      <c r="D7" s="299">
        <v>179245.09</v>
      </c>
      <c r="E7" s="300">
        <v>62676.85</v>
      </c>
      <c r="F7" s="301">
        <v>0</v>
      </c>
      <c r="G7" s="302">
        <v>2000</v>
      </c>
      <c r="H7" s="302">
        <v>2019</v>
      </c>
      <c r="I7" s="303">
        <f>13642.28+1000</f>
        <v>14642.28</v>
      </c>
      <c r="J7" s="304">
        <f>4476.92+4476.92</f>
        <v>8953.84</v>
      </c>
      <c r="K7" s="305">
        <v>3030</v>
      </c>
      <c r="L7" s="304">
        <f t="shared" si="0"/>
        <v>5688.4400000000005</v>
      </c>
      <c r="M7" s="306">
        <v>283</v>
      </c>
      <c r="N7" s="307">
        <f t="shared" si="1"/>
        <v>53723.009999999995</v>
      </c>
    </row>
    <row r="8" spans="1:14" s="308" customFormat="1" ht="12.75">
      <c r="A8" s="309" t="s">
        <v>17</v>
      </c>
      <c r="B8" s="298" t="s">
        <v>7</v>
      </c>
      <c r="C8" s="298" t="s">
        <v>18</v>
      </c>
      <c r="D8" s="299">
        <v>6197.48</v>
      </c>
      <c r="E8" s="300">
        <v>2370.76</v>
      </c>
      <c r="F8" s="301">
        <v>6.5</v>
      </c>
      <c r="G8" s="302">
        <v>1998</v>
      </c>
      <c r="H8" s="302">
        <v>2017</v>
      </c>
      <c r="I8" s="303">
        <v>562.98</v>
      </c>
      <c r="J8" s="304">
        <f>204.44+211.08</f>
        <v>415.52</v>
      </c>
      <c r="K8" s="305"/>
      <c r="L8" s="304">
        <f t="shared" si="0"/>
        <v>147.46000000000004</v>
      </c>
      <c r="M8" s="306"/>
      <c r="N8" s="307">
        <f t="shared" si="1"/>
        <v>1955.2400000000002</v>
      </c>
    </row>
    <row r="9" spans="1:14" s="308" customFormat="1" ht="12.75">
      <c r="A9" s="297">
        <v>4317939</v>
      </c>
      <c r="B9" s="298" t="s">
        <v>7</v>
      </c>
      <c r="C9" s="298" t="s">
        <v>18</v>
      </c>
      <c r="D9" s="299">
        <v>148739.59</v>
      </c>
      <c r="E9" s="300">
        <v>56899.07</v>
      </c>
      <c r="F9" s="301">
        <v>6.5</v>
      </c>
      <c r="G9" s="302">
        <v>1998</v>
      </c>
      <c r="H9" s="302">
        <v>2017</v>
      </c>
      <c r="I9" s="303">
        <v>13511.4</v>
      </c>
      <c r="J9" s="304">
        <f>4906.48+5065.94</f>
        <v>9972.419999999998</v>
      </c>
      <c r="K9" s="305"/>
      <c r="L9" s="304">
        <f t="shared" si="0"/>
        <v>3538.9800000000014</v>
      </c>
      <c r="M9" s="306"/>
      <c r="N9" s="307">
        <f t="shared" si="1"/>
        <v>46926.65</v>
      </c>
    </row>
    <row r="10" spans="1:14" s="308" customFormat="1" ht="12.75">
      <c r="A10" s="310" t="s">
        <v>77</v>
      </c>
      <c r="B10" s="311" t="s">
        <v>7</v>
      </c>
      <c r="C10" s="311" t="s">
        <v>72</v>
      </c>
      <c r="D10" s="312">
        <v>80000</v>
      </c>
      <c r="E10" s="313">
        <v>58428.54</v>
      </c>
      <c r="F10" s="314">
        <v>3.72</v>
      </c>
      <c r="G10" s="315">
        <v>2006</v>
      </c>
      <c r="H10" s="315">
        <v>2025</v>
      </c>
      <c r="I10" s="316">
        <v>5716.4</v>
      </c>
      <c r="J10" s="317">
        <f>1765.58+1798.6</f>
        <v>3564.18</v>
      </c>
      <c r="K10" s="305"/>
      <c r="L10" s="317">
        <f>I10-J10</f>
        <v>2152.22</v>
      </c>
      <c r="M10" s="306"/>
      <c r="N10" s="307">
        <f>E10-J10</f>
        <v>54864.36</v>
      </c>
    </row>
    <row r="11" spans="1:14" s="323" customFormat="1" ht="13.5" thickBot="1">
      <c r="A11" s="318" t="s">
        <v>102</v>
      </c>
      <c r="B11" s="298" t="s">
        <v>20</v>
      </c>
      <c r="C11" s="298" t="s">
        <v>92</v>
      </c>
      <c r="D11" s="299">
        <v>60000</v>
      </c>
      <c r="E11" s="319">
        <v>54120.68</v>
      </c>
      <c r="F11" s="301">
        <v>4.17</v>
      </c>
      <c r="G11" s="302">
        <v>2010</v>
      </c>
      <c r="H11" s="302">
        <v>2029</v>
      </c>
      <c r="I11" s="303">
        <v>4644.1</v>
      </c>
      <c r="J11" s="304">
        <f>1061.31+1086.04</f>
        <v>2147.35</v>
      </c>
      <c r="K11" s="320"/>
      <c r="L11" s="321">
        <f>I11-J11</f>
        <v>2496.7500000000005</v>
      </c>
      <c r="M11" s="322"/>
      <c r="N11" s="307">
        <f>E11-J11</f>
        <v>51973.33</v>
      </c>
    </row>
    <row r="12" spans="1:14" ht="13.5" thickBot="1">
      <c r="A12" s="145"/>
      <c r="B12" s="98"/>
      <c r="C12" s="98"/>
      <c r="D12" s="99"/>
      <c r="E12" s="162" t="s">
        <v>42</v>
      </c>
      <c r="F12" s="101"/>
      <c r="G12" s="102"/>
      <c r="H12" s="103" t="s">
        <v>43</v>
      </c>
      <c r="I12" s="104">
        <f>SUM(I3:I11)</f>
        <v>99374.31999999999</v>
      </c>
      <c r="J12" s="100">
        <f>SUM(J3:J11)</f>
        <v>62380.579999999994</v>
      </c>
      <c r="K12" s="223"/>
      <c r="L12" s="106">
        <f t="shared" si="0"/>
        <v>36993.74</v>
      </c>
      <c r="M12" s="224"/>
      <c r="N12" s="146">
        <f>SUM(N3:N11)</f>
        <v>632910.95</v>
      </c>
    </row>
    <row r="13" spans="1:14" s="308" customFormat="1" ht="12.75">
      <c r="A13" s="324">
        <v>4367661</v>
      </c>
      <c r="B13" s="325" t="s">
        <v>20</v>
      </c>
      <c r="C13" s="325" t="s">
        <v>21</v>
      </c>
      <c r="D13" s="326">
        <v>51645.69</v>
      </c>
      <c r="E13" s="319">
        <v>27765.8</v>
      </c>
      <c r="F13" s="327">
        <v>5.75</v>
      </c>
      <c r="G13" s="328">
        <v>2001</v>
      </c>
      <c r="H13" s="328">
        <v>2020</v>
      </c>
      <c r="I13" s="329">
        <v>4378.78</v>
      </c>
      <c r="J13" s="330">
        <f>1391.13+1431.12</f>
        <v>2822.25</v>
      </c>
      <c r="K13" s="320"/>
      <c r="L13" s="331">
        <f t="shared" si="0"/>
        <v>1556.5299999999997</v>
      </c>
      <c r="M13" s="322"/>
      <c r="N13" s="332">
        <f t="shared" si="1"/>
        <v>24943.55</v>
      </c>
    </row>
    <row r="14" spans="1:14" s="308" customFormat="1" ht="12.75">
      <c r="A14" s="297">
        <v>4363580</v>
      </c>
      <c r="B14" s="298" t="s">
        <v>20</v>
      </c>
      <c r="C14" s="298" t="s">
        <v>22</v>
      </c>
      <c r="D14" s="299">
        <v>77468.53</v>
      </c>
      <c r="E14" s="319">
        <v>41648.75</v>
      </c>
      <c r="F14" s="301">
        <v>5.75</v>
      </c>
      <c r="G14" s="302">
        <v>2001</v>
      </c>
      <c r="H14" s="302">
        <v>2020</v>
      </c>
      <c r="I14" s="303">
        <v>6568.18</v>
      </c>
      <c r="J14" s="333">
        <f>2086.69+2146.68</f>
        <v>4233.37</v>
      </c>
      <c r="K14" s="320"/>
      <c r="L14" s="334">
        <f t="shared" si="0"/>
        <v>2334.8100000000004</v>
      </c>
      <c r="M14" s="322"/>
      <c r="N14" s="307">
        <f t="shared" si="1"/>
        <v>37415.38</v>
      </c>
    </row>
    <row r="15" spans="1:14" s="308" customFormat="1" ht="12" customHeight="1">
      <c r="A15" s="309" t="s">
        <v>23</v>
      </c>
      <c r="B15" s="298" t="s">
        <v>20</v>
      </c>
      <c r="C15" s="298" t="s">
        <v>24</v>
      </c>
      <c r="D15" s="299">
        <v>55628.72</v>
      </c>
      <c r="E15" s="319">
        <v>22273.96</v>
      </c>
      <c r="F15" s="301">
        <v>4.85</v>
      </c>
      <c r="G15" s="302">
        <v>1999</v>
      </c>
      <c r="H15" s="302">
        <v>2018</v>
      </c>
      <c r="I15" s="303">
        <v>4323.16</v>
      </c>
      <c r="J15" s="333">
        <f>1621.43+1660.75</f>
        <v>3282.1800000000003</v>
      </c>
      <c r="K15" s="320">
        <v>3030</v>
      </c>
      <c r="L15" s="334">
        <f t="shared" si="0"/>
        <v>1040.9799999999996</v>
      </c>
      <c r="M15" s="322">
        <v>518</v>
      </c>
      <c r="N15" s="307">
        <f t="shared" si="1"/>
        <v>18991.78</v>
      </c>
    </row>
    <row r="16" spans="1:14" s="308" customFormat="1" ht="12.75">
      <c r="A16" s="335">
        <v>4271244</v>
      </c>
      <c r="B16" s="311" t="s">
        <v>20</v>
      </c>
      <c r="C16" s="311" t="s">
        <v>25</v>
      </c>
      <c r="D16" s="312">
        <v>69205.22</v>
      </c>
      <c r="E16" s="319">
        <v>17240.48</v>
      </c>
      <c r="F16" s="314">
        <v>6.5</v>
      </c>
      <c r="G16" s="315">
        <v>1996</v>
      </c>
      <c r="H16" s="315">
        <v>2015</v>
      </c>
      <c r="I16" s="316">
        <v>6417.96</v>
      </c>
      <c r="J16" s="336">
        <f>2648.67+2734.75</f>
        <v>5383.42</v>
      </c>
      <c r="K16" s="320"/>
      <c r="L16" s="321">
        <f>I16-J16</f>
        <v>1034.54</v>
      </c>
      <c r="M16" s="322"/>
      <c r="N16" s="307">
        <f>E16-J16</f>
        <v>11857.06</v>
      </c>
    </row>
    <row r="17" spans="1:14" s="323" customFormat="1" ht="13.5" thickBot="1">
      <c r="A17" s="335">
        <v>4555239</v>
      </c>
      <c r="B17" s="311" t="s">
        <v>20</v>
      </c>
      <c r="C17" s="311" t="s">
        <v>110</v>
      </c>
      <c r="D17" s="312">
        <v>127500</v>
      </c>
      <c r="E17" s="319">
        <v>124258.92</v>
      </c>
      <c r="F17" s="314">
        <v>6.51</v>
      </c>
      <c r="G17" s="315">
        <v>2012</v>
      </c>
      <c r="H17" s="315">
        <v>2031</v>
      </c>
      <c r="I17" s="316">
        <v>11495.76</v>
      </c>
      <c r="J17" s="336">
        <v>3455.68</v>
      </c>
      <c r="K17" s="320"/>
      <c r="L17" s="321">
        <f>I17-J17</f>
        <v>8040.08</v>
      </c>
      <c r="M17" s="322"/>
      <c r="N17" s="307">
        <f>E17-J17</f>
        <v>120803.24</v>
      </c>
    </row>
    <row r="18" spans="1:14" ht="13.5" thickBot="1">
      <c r="A18" s="145"/>
      <c r="B18" s="98"/>
      <c r="C18" s="98"/>
      <c r="D18" s="99"/>
      <c r="E18" s="110" t="s">
        <v>42</v>
      </c>
      <c r="F18" s="101"/>
      <c r="G18" s="102"/>
      <c r="H18" s="103" t="s">
        <v>43</v>
      </c>
      <c r="I18" s="104">
        <f>SUM(I13:I17)</f>
        <v>33183.84</v>
      </c>
      <c r="J18" s="100">
        <f>SUM(J13:J17)</f>
        <v>19176.899999999998</v>
      </c>
      <c r="K18" s="223"/>
      <c r="L18" s="106">
        <f t="shared" si="0"/>
        <v>14006.939999999999</v>
      </c>
      <c r="M18" s="224"/>
      <c r="N18" s="169">
        <f>SUM(N13:N17)</f>
        <v>214011.01</v>
      </c>
    </row>
    <row r="19" spans="1:14" s="308" customFormat="1" ht="12.75">
      <c r="A19" s="377">
        <v>22851</v>
      </c>
      <c r="B19" s="378" t="s">
        <v>26</v>
      </c>
      <c r="C19" s="378" t="s">
        <v>27</v>
      </c>
      <c r="D19" s="379">
        <v>77468.53</v>
      </c>
      <c r="E19" s="380">
        <v>26538.47</v>
      </c>
      <c r="F19" s="381">
        <v>5</v>
      </c>
      <c r="G19" s="382">
        <v>2002</v>
      </c>
      <c r="H19" s="382">
        <v>2016</v>
      </c>
      <c r="I19" s="383">
        <v>7402.53</v>
      </c>
      <c r="J19" s="384">
        <v>6151.54</v>
      </c>
      <c r="K19" s="385">
        <v>3040</v>
      </c>
      <c r="L19" s="386">
        <f>I19-J19</f>
        <v>1250.9899999999998</v>
      </c>
      <c r="M19" s="387">
        <v>645</v>
      </c>
      <c r="N19" s="388">
        <f>E19-J19</f>
        <v>20386.93</v>
      </c>
    </row>
    <row r="20" spans="1:14" s="323" customFormat="1" ht="13.5" thickBot="1">
      <c r="A20" s="337">
        <v>4550239</v>
      </c>
      <c r="B20" s="338" t="s">
        <v>20</v>
      </c>
      <c r="C20" s="338" t="s">
        <v>93</v>
      </c>
      <c r="D20" s="339">
        <v>114950</v>
      </c>
      <c r="E20" s="340">
        <v>111473.6</v>
      </c>
      <c r="F20" s="341">
        <v>4.93</v>
      </c>
      <c r="G20" s="342">
        <v>2012</v>
      </c>
      <c r="H20" s="342">
        <v>2031</v>
      </c>
      <c r="I20" s="343">
        <v>9111.38</v>
      </c>
      <c r="J20" s="344">
        <v>3650.22</v>
      </c>
      <c r="K20" s="305">
        <v>3030</v>
      </c>
      <c r="L20" s="345">
        <f>I20-J20</f>
        <v>5461.16</v>
      </c>
      <c r="M20" s="322">
        <v>645</v>
      </c>
      <c r="N20" s="346">
        <f>E20-J20</f>
        <v>107823.38</v>
      </c>
    </row>
    <row r="21" spans="1:14" ht="13.5" thickBot="1">
      <c r="A21" s="145"/>
      <c r="B21" s="98"/>
      <c r="C21" s="98"/>
      <c r="D21" s="99"/>
      <c r="E21" s="100" t="s">
        <v>42</v>
      </c>
      <c r="F21" s="101"/>
      <c r="G21" s="103"/>
      <c r="H21" s="103" t="s">
        <v>43</v>
      </c>
      <c r="I21" s="104">
        <f>SUM(I19:I20)</f>
        <v>16513.91</v>
      </c>
      <c r="J21" s="100">
        <f>SUM(J19:J20)</f>
        <v>9801.76</v>
      </c>
      <c r="K21" s="224"/>
      <c r="L21" s="106">
        <f t="shared" si="0"/>
        <v>6712.15</v>
      </c>
      <c r="M21" s="224"/>
      <c r="N21" s="169">
        <f>SUM(N19:N20)</f>
        <v>128210.31</v>
      </c>
    </row>
    <row r="22" spans="1:14" s="308" customFormat="1" ht="12.75">
      <c r="A22" s="347" t="s">
        <v>28</v>
      </c>
      <c r="B22" s="325" t="s">
        <v>20</v>
      </c>
      <c r="C22" s="325" t="s">
        <v>29</v>
      </c>
      <c r="D22" s="326">
        <v>17559.53</v>
      </c>
      <c r="E22" s="340">
        <v>9440.36</v>
      </c>
      <c r="F22" s="327">
        <v>5.75</v>
      </c>
      <c r="G22" s="328">
        <v>2001</v>
      </c>
      <c r="H22" s="328">
        <v>2020</v>
      </c>
      <c r="I22" s="329">
        <v>1488.78</v>
      </c>
      <c r="J22" s="348">
        <f>472.98+486.58</f>
        <v>959.56</v>
      </c>
      <c r="K22" s="305"/>
      <c r="L22" s="348">
        <f t="shared" si="0"/>
        <v>529.22</v>
      </c>
      <c r="M22" s="306"/>
      <c r="N22" s="349">
        <f t="shared" si="1"/>
        <v>8480.800000000001</v>
      </c>
    </row>
    <row r="23" spans="1:14" s="308" customFormat="1" ht="12.75">
      <c r="A23" s="297">
        <v>4364549</v>
      </c>
      <c r="B23" s="298" t="s">
        <v>20</v>
      </c>
      <c r="C23" s="298" t="s">
        <v>29</v>
      </c>
      <c r="D23" s="299">
        <v>137377.54</v>
      </c>
      <c r="E23" s="319">
        <v>73857.12</v>
      </c>
      <c r="F23" s="301">
        <v>5.75</v>
      </c>
      <c r="G23" s="302">
        <v>2001</v>
      </c>
      <c r="H23" s="302">
        <v>2020</v>
      </c>
      <c r="I23" s="303">
        <v>11647.56</v>
      </c>
      <c r="J23" s="304">
        <f>3700.39+3806.78</f>
        <v>7507.17</v>
      </c>
      <c r="K23" s="305"/>
      <c r="L23" s="304">
        <f t="shared" si="0"/>
        <v>4140.389999999999</v>
      </c>
      <c r="M23" s="306"/>
      <c r="N23" s="307">
        <f t="shared" si="1"/>
        <v>66349.95</v>
      </c>
    </row>
    <row r="24" spans="1:14" s="308" customFormat="1" ht="12.75">
      <c r="A24" s="297">
        <v>4297871</v>
      </c>
      <c r="B24" s="298" t="s">
        <v>20</v>
      </c>
      <c r="C24" s="298" t="s">
        <v>29</v>
      </c>
      <c r="D24" s="299">
        <v>129114.22</v>
      </c>
      <c r="E24" s="319">
        <v>41106.42</v>
      </c>
      <c r="F24" s="301">
        <v>6.5</v>
      </c>
      <c r="G24" s="302">
        <v>1997</v>
      </c>
      <c r="H24" s="302">
        <v>2016</v>
      </c>
      <c r="I24" s="303">
        <v>11835.58</v>
      </c>
      <c r="J24" s="304">
        <f>4581.83+4730.74</f>
        <v>9312.57</v>
      </c>
      <c r="K24" s="305"/>
      <c r="L24" s="304">
        <f t="shared" si="0"/>
        <v>2523.01</v>
      </c>
      <c r="M24" s="306"/>
      <c r="N24" s="307">
        <f t="shared" si="1"/>
        <v>31793.85</v>
      </c>
    </row>
    <row r="25" spans="1:14" s="308" customFormat="1" ht="12.75">
      <c r="A25" s="297">
        <v>4268507</v>
      </c>
      <c r="B25" s="298" t="s">
        <v>20</v>
      </c>
      <c r="C25" s="298" t="s">
        <v>29</v>
      </c>
      <c r="D25" s="299">
        <v>77468.53</v>
      </c>
      <c r="E25" s="319">
        <v>19299.11</v>
      </c>
      <c r="F25" s="301">
        <v>6.5</v>
      </c>
      <c r="G25" s="302">
        <v>1996</v>
      </c>
      <c r="H25" s="302">
        <v>2015</v>
      </c>
      <c r="I25" s="303">
        <v>7184.3</v>
      </c>
      <c r="J25" s="304">
        <f>2964.92+3061.28</f>
        <v>6026.200000000001</v>
      </c>
      <c r="K25" s="305"/>
      <c r="L25" s="304">
        <f t="shared" si="0"/>
        <v>1158.0999999999995</v>
      </c>
      <c r="M25" s="306"/>
      <c r="N25" s="307">
        <f t="shared" si="1"/>
        <v>13272.91</v>
      </c>
    </row>
    <row r="26" spans="1:14" s="308" customFormat="1" ht="12.75">
      <c r="A26" s="309" t="s">
        <v>30</v>
      </c>
      <c r="B26" s="298" t="s">
        <v>20</v>
      </c>
      <c r="C26" s="298" t="s">
        <v>29</v>
      </c>
      <c r="D26" s="299">
        <v>74741.64</v>
      </c>
      <c r="E26" s="319">
        <v>16055.09</v>
      </c>
      <c r="F26" s="301">
        <v>6.5</v>
      </c>
      <c r="G26" s="302">
        <v>1981</v>
      </c>
      <c r="H26" s="302">
        <v>2015</v>
      </c>
      <c r="I26" s="303">
        <v>5976.68</v>
      </c>
      <c r="J26" s="304">
        <f>2466.55+2546.71</f>
        <v>5013.26</v>
      </c>
      <c r="K26" s="305">
        <v>3030</v>
      </c>
      <c r="L26" s="304">
        <f t="shared" si="0"/>
        <v>963.4200000000001</v>
      </c>
      <c r="M26" s="306">
        <v>760</v>
      </c>
      <c r="N26" s="307">
        <f t="shared" si="1"/>
        <v>11041.83</v>
      </c>
    </row>
    <row r="27" spans="1:14" s="308" customFormat="1" ht="12.75">
      <c r="A27" s="297">
        <v>3033507</v>
      </c>
      <c r="B27" s="298" t="s">
        <v>20</v>
      </c>
      <c r="C27" s="298" t="s">
        <v>29</v>
      </c>
      <c r="D27" s="299">
        <v>23240.56</v>
      </c>
      <c r="E27" s="319">
        <v>1797.06</v>
      </c>
      <c r="F27" s="301">
        <v>6.5</v>
      </c>
      <c r="G27" s="302">
        <v>1979</v>
      </c>
      <c r="H27" s="350">
        <v>2013</v>
      </c>
      <c r="I27" s="303">
        <v>1885.2</v>
      </c>
      <c r="J27" s="304">
        <v>1797.06</v>
      </c>
      <c r="K27" s="305"/>
      <c r="L27" s="304">
        <f t="shared" si="0"/>
        <v>88.1400000000001</v>
      </c>
      <c r="M27" s="306"/>
      <c r="N27" s="307">
        <f t="shared" si="1"/>
        <v>0</v>
      </c>
    </row>
    <row r="28" spans="1:14" s="308" customFormat="1" ht="13.5" customHeight="1">
      <c r="A28" s="351">
        <v>4464738</v>
      </c>
      <c r="B28" s="298" t="s">
        <v>20</v>
      </c>
      <c r="C28" s="298" t="s">
        <v>29</v>
      </c>
      <c r="D28" s="312">
        <v>160000</v>
      </c>
      <c r="E28" s="319">
        <v>115758.81</v>
      </c>
      <c r="F28" s="314">
        <v>3.4</v>
      </c>
      <c r="G28" s="315">
        <v>2006</v>
      </c>
      <c r="H28" s="315">
        <v>2025</v>
      </c>
      <c r="I28" s="316">
        <v>11091.2</v>
      </c>
      <c r="J28" s="317">
        <f>3577.7+3638.52</f>
        <v>7216.219999999999</v>
      </c>
      <c r="K28" s="305"/>
      <c r="L28" s="317">
        <f t="shared" si="0"/>
        <v>3874.9800000000014</v>
      </c>
      <c r="M28" s="306"/>
      <c r="N28" s="307">
        <f t="shared" si="1"/>
        <v>108542.59</v>
      </c>
    </row>
    <row r="29" spans="1:14" s="308" customFormat="1" ht="12.75">
      <c r="A29" s="351">
        <v>4478664</v>
      </c>
      <c r="B29" s="298" t="s">
        <v>20</v>
      </c>
      <c r="C29" s="298" t="s">
        <v>29</v>
      </c>
      <c r="D29" s="312">
        <v>53000</v>
      </c>
      <c r="E29" s="319">
        <v>38345.11</v>
      </c>
      <c r="F29" s="314">
        <v>3.4</v>
      </c>
      <c r="G29" s="315">
        <v>2006</v>
      </c>
      <c r="H29" s="315">
        <v>2026</v>
      </c>
      <c r="I29" s="316">
        <v>3673.96</v>
      </c>
      <c r="J29" s="317">
        <f>1185.11+1205.26</f>
        <v>2390.37</v>
      </c>
      <c r="K29" s="305"/>
      <c r="L29" s="317">
        <f t="shared" si="0"/>
        <v>1283.5900000000001</v>
      </c>
      <c r="M29" s="306"/>
      <c r="N29" s="307">
        <f t="shared" si="1"/>
        <v>35954.74</v>
      </c>
    </row>
    <row r="30" spans="1:14" s="308" customFormat="1" ht="12.75">
      <c r="A30" s="310" t="s">
        <v>76</v>
      </c>
      <c r="B30" s="298" t="s">
        <v>20</v>
      </c>
      <c r="C30" s="298" t="s">
        <v>73</v>
      </c>
      <c r="D30" s="312">
        <v>100000</v>
      </c>
      <c r="E30" s="300">
        <v>72995.57</v>
      </c>
      <c r="F30" s="314">
        <v>3.72</v>
      </c>
      <c r="G30" s="315">
        <v>2006</v>
      </c>
      <c r="H30" s="315">
        <v>2025</v>
      </c>
      <c r="I30" s="316">
        <v>7132.84</v>
      </c>
      <c r="J30" s="317">
        <f>2208.7+2249.78</f>
        <v>4458.48</v>
      </c>
      <c r="K30" s="305"/>
      <c r="L30" s="317">
        <f t="shared" si="0"/>
        <v>2674.3600000000006</v>
      </c>
      <c r="M30" s="306"/>
      <c r="N30" s="307">
        <f t="shared" si="1"/>
        <v>68537.09000000001</v>
      </c>
    </row>
    <row r="31" spans="1:15" s="352" customFormat="1" ht="12.75">
      <c r="A31" s="310" t="s">
        <v>104</v>
      </c>
      <c r="B31" s="298" t="s">
        <v>20</v>
      </c>
      <c r="C31" s="298" t="s">
        <v>78</v>
      </c>
      <c r="D31" s="312">
        <v>120000</v>
      </c>
      <c r="E31" s="300">
        <v>107857.27</v>
      </c>
      <c r="F31" s="314">
        <v>4.32</v>
      </c>
      <c r="G31" s="315">
        <v>2010</v>
      </c>
      <c r="H31" s="315">
        <v>2029</v>
      </c>
      <c r="I31" s="316">
        <v>9027.68</v>
      </c>
      <c r="J31" s="317">
        <f>2179.8+2226.98</f>
        <v>4406.780000000001</v>
      </c>
      <c r="K31" s="305"/>
      <c r="L31" s="317">
        <f t="shared" si="0"/>
        <v>4620.9</v>
      </c>
      <c r="M31" s="306"/>
      <c r="N31" s="307">
        <f t="shared" si="1"/>
        <v>103450.49</v>
      </c>
      <c r="O31" s="308"/>
    </row>
    <row r="32" spans="1:15" s="352" customFormat="1" ht="21">
      <c r="A32" s="310" t="s">
        <v>103</v>
      </c>
      <c r="B32" s="311" t="s">
        <v>20</v>
      </c>
      <c r="C32" s="353" t="s">
        <v>107</v>
      </c>
      <c r="D32" s="312">
        <v>90000</v>
      </c>
      <c r="E32" s="319">
        <v>80875.33</v>
      </c>
      <c r="F32" s="314">
        <v>4.3</v>
      </c>
      <c r="G32" s="315">
        <v>2010</v>
      </c>
      <c r="H32" s="315">
        <v>2029</v>
      </c>
      <c r="I32" s="316">
        <v>6759.04</v>
      </c>
      <c r="J32" s="336">
        <f>1637.47+1672.74</f>
        <v>3310.21</v>
      </c>
      <c r="K32" s="320"/>
      <c r="L32" s="321">
        <f>I32-J32</f>
        <v>3448.83</v>
      </c>
      <c r="M32" s="322"/>
      <c r="N32" s="307">
        <f>E32-J32</f>
        <v>77565.12</v>
      </c>
      <c r="O32" s="308"/>
    </row>
    <row r="33" spans="1:14" s="352" customFormat="1" ht="21">
      <c r="A33" s="310" t="s">
        <v>117</v>
      </c>
      <c r="B33" s="311" t="s">
        <v>20</v>
      </c>
      <c r="C33" s="353" t="s">
        <v>108</v>
      </c>
      <c r="D33" s="312">
        <v>152925</v>
      </c>
      <c r="E33" s="319">
        <v>142809.52</v>
      </c>
      <c r="F33" s="314">
        <v>4.43</v>
      </c>
      <c r="G33" s="315">
        <v>2011</v>
      </c>
      <c r="H33" s="315">
        <v>2029</v>
      </c>
      <c r="I33" s="316">
        <v>11483.74</v>
      </c>
      <c r="J33" s="336">
        <f>2666.47+2723.89</f>
        <v>5390.36</v>
      </c>
      <c r="K33" s="320"/>
      <c r="L33" s="321">
        <f>I33-J33</f>
        <v>6093.38</v>
      </c>
      <c r="M33" s="322"/>
      <c r="N33" s="363">
        <f>E33-J33</f>
        <v>137419.16</v>
      </c>
    </row>
    <row r="34" spans="1:14" s="352" customFormat="1" ht="13.5" thickBot="1">
      <c r="A34" s="354">
        <v>4555218</v>
      </c>
      <c r="B34" s="355" t="s">
        <v>20</v>
      </c>
      <c r="C34" s="355" t="s">
        <v>109</v>
      </c>
      <c r="D34" s="356">
        <v>67572.27</v>
      </c>
      <c r="E34" s="357">
        <v>65854.56</v>
      </c>
      <c r="F34" s="358">
        <v>6.51</v>
      </c>
      <c r="G34" s="359">
        <v>2012</v>
      </c>
      <c r="H34" s="359">
        <v>2031</v>
      </c>
      <c r="I34" s="360">
        <v>6092.5</v>
      </c>
      <c r="J34" s="361">
        <v>1831.43</v>
      </c>
      <c r="K34" s="362"/>
      <c r="L34" s="361">
        <f>I34-J34</f>
        <v>4261.07</v>
      </c>
      <c r="M34" s="364"/>
      <c r="N34" s="357">
        <f>E34-J34</f>
        <v>64023.13</v>
      </c>
    </row>
    <row r="35" spans="1:14" ht="13.5" thickBot="1">
      <c r="A35" s="145"/>
      <c r="B35" s="98"/>
      <c r="C35" s="98"/>
      <c r="D35" s="99"/>
      <c r="E35" s="232" t="s">
        <v>42</v>
      </c>
      <c r="F35" s="101"/>
      <c r="G35" s="102"/>
      <c r="H35" s="103" t="s">
        <v>43</v>
      </c>
      <c r="I35" s="104">
        <f>SUM(I22:I34)</f>
        <v>95279.06</v>
      </c>
      <c r="J35" s="100">
        <f>SUM(J22:J34)</f>
        <v>59619.67</v>
      </c>
      <c r="K35" s="224"/>
      <c r="L35" s="106">
        <f t="shared" si="0"/>
        <v>35659.39</v>
      </c>
      <c r="M35" s="224"/>
      <c r="N35" s="169">
        <f>SUM(N22:N34)</f>
        <v>726431.66</v>
      </c>
    </row>
    <row r="36" spans="1:14" s="308" customFormat="1" ht="12.75">
      <c r="A36" s="347" t="s">
        <v>32</v>
      </c>
      <c r="B36" s="325" t="s">
        <v>20</v>
      </c>
      <c r="C36" s="325" t="s">
        <v>33</v>
      </c>
      <c r="D36" s="326">
        <v>13180.75</v>
      </c>
      <c r="E36" s="365">
        <v>5042.2</v>
      </c>
      <c r="F36" s="327">
        <v>6.5</v>
      </c>
      <c r="G36" s="328">
        <v>1998</v>
      </c>
      <c r="H36" s="328">
        <v>2017</v>
      </c>
      <c r="I36" s="329">
        <v>1197.32</v>
      </c>
      <c r="J36" s="348">
        <f>434.79+448.92</f>
        <v>883.71</v>
      </c>
      <c r="K36" s="305"/>
      <c r="L36" s="348">
        <f t="shared" si="0"/>
        <v>313.6099999999999</v>
      </c>
      <c r="M36" s="306"/>
      <c r="N36" s="366">
        <f t="shared" si="1"/>
        <v>4158.49</v>
      </c>
    </row>
    <row r="37" spans="1:14" s="308" customFormat="1" ht="12.75">
      <c r="A37" s="297">
        <v>4317937</v>
      </c>
      <c r="B37" s="298" t="s">
        <v>20</v>
      </c>
      <c r="C37" s="298" t="s">
        <v>33</v>
      </c>
      <c r="D37" s="299">
        <v>90110.63</v>
      </c>
      <c r="E37" s="365">
        <v>34471.08</v>
      </c>
      <c r="F37" s="301">
        <v>6.5</v>
      </c>
      <c r="G37" s="302">
        <v>1998</v>
      </c>
      <c r="H37" s="302">
        <v>2017</v>
      </c>
      <c r="I37" s="303">
        <v>8185.58</v>
      </c>
      <c r="J37" s="304">
        <f>2972.48+3069.09</f>
        <v>6041.57</v>
      </c>
      <c r="K37" s="305"/>
      <c r="L37" s="304">
        <f t="shared" si="0"/>
        <v>2144.01</v>
      </c>
      <c r="M37" s="306"/>
      <c r="N37" s="307">
        <f t="shared" si="1"/>
        <v>28429.510000000002</v>
      </c>
    </row>
    <row r="38" spans="1:14" s="308" customFormat="1" ht="12.75">
      <c r="A38" s="309" t="s">
        <v>34</v>
      </c>
      <c r="B38" s="298" t="s">
        <v>20</v>
      </c>
      <c r="C38" s="298" t="s">
        <v>33</v>
      </c>
      <c r="D38" s="299">
        <v>51645.69</v>
      </c>
      <c r="E38" s="365">
        <v>19756.57</v>
      </c>
      <c r="F38" s="301">
        <v>6.5</v>
      </c>
      <c r="G38" s="302">
        <v>1998</v>
      </c>
      <c r="H38" s="302">
        <v>2017</v>
      </c>
      <c r="I38" s="303">
        <v>4691.46</v>
      </c>
      <c r="J38" s="304">
        <f>1703.64+1759.01</f>
        <v>3462.65</v>
      </c>
      <c r="K38" s="305"/>
      <c r="L38" s="304">
        <f t="shared" si="0"/>
        <v>1228.81</v>
      </c>
      <c r="M38" s="306"/>
      <c r="N38" s="307">
        <f t="shared" si="1"/>
        <v>16293.92</v>
      </c>
    </row>
    <row r="39" spans="1:14" s="308" customFormat="1" ht="12.75">
      <c r="A39" s="297">
        <v>4297902</v>
      </c>
      <c r="B39" s="298" t="s">
        <v>20</v>
      </c>
      <c r="C39" s="298" t="s">
        <v>33</v>
      </c>
      <c r="D39" s="299">
        <v>51645.69</v>
      </c>
      <c r="E39" s="365">
        <v>16442.63</v>
      </c>
      <c r="F39" s="301">
        <v>6.5</v>
      </c>
      <c r="G39" s="302">
        <v>1997</v>
      </c>
      <c r="H39" s="302">
        <v>2016</v>
      </c>
      <c r="I39" s="303">
        <v>4734.24</v>
      </c>
      <c r="J39" s="304">
        <f>1832.73+1892.29</f>
        <v>3725.02</v>
      </c>
      <c r="K39" s="305">
        <v>3030</v>
      </c>
      <c r="L39" s="304">
        <f t="shared" si="0"/>
        <v>1009.2199999999998</v>
      </c>
      <c r="M39" s="306">
        <v>820</v>
      </c>
      <c r="N39" s="307">
        <f t="shared" si="1"/>
        <v>12717.61</v>
      </c>
    </row>
    <row r="40" spans="1:14" s="308" customFormat="1" ht="13.5" thickBot="1">
      <c r="A40" s="297">
        <v>3078427</v>
      </c>
      <c r="B40" s="298" t="s">
        <v>20</v>
      </c>
      <c r="C40" s="298" t="s">
        <v>33</v>
      </c>
      <c r="D40" s="299">
        <v>144.61</v>
      </c>
      <c r="E40" s="365">
        <v>31.04</v>
      </c>
      <c r="F40" s="301">
        <v>6.5</v>
      </c>
      <c r="G40" s="302">
        <v>1981</v>
      </c>
      <c r="H40" s="302">
        <v>2015</v>
      </c>
      <c r="I40" s="303">
        <v>11.56</v>
      </c>
      <c r="J40" s="304">
        <v>9.7</v>
      </c>
      <c r="K40" s="305"/>
      <c r="L40" s="304">
        <f t="shared" si="0"/>
        <v>1.8600000000000012</v>
      </c>
      <c r="M40" s="306"/>
      <c r="N40" s="307">
        <f t="shared" si="1"/>
        <v>21.34</v>
      </c>
    </row>
    <row r="41" spans="1:14" ht="13.5" thickBot="1">
      <c r="A41" s="145"/>
      <c r="B41" s="98"/>
      <c r="C41" s="98"/>
      <c r="D41" s="99"/>
      <c r="E41" s="100" t="s">
        <v>42</v>
      </c>
      <c r="F41" s="101"/>
      <c r="G41" s="102"/>
      <c r="H41" s="103" t="s">
        <v>43</v>
      </c>
      <c r="I41" s="104">
        <f>SUM(I36:I40)</f>
        <v>18820.16</v>
      </c>
      <c r="J41" s="100">
        <f>SUM(J36:J40)</f>
        <v>14122.650000000001</v>
      </c>
      <c r="K41" s="224"/>
      <c r="L41" s="106">
        <f t="shared" si="0"/>
        <v>4697.509999999998</v>
      </c>
      <c r="M41" s="224"/>
      <c r="N41" s="169">
        <f>SUM(N36:N40)</f>
        <v>61620.869999999995</v>
      </c>
    </row>
    <row r="42" spans="1:14" s="308" customFormat="1" ht="12.75">
      <c r="A42" s="324">
        <v>4444717</v>
      </c>
      <c r="B42" s="325" t="s">
        <v>20</v>
      </c>
      <c r="C42" s="325" t="s">
        <v>38</v>
      </c>
      <c r="D42" s="326">
        <v>98000</v>
      </c>
      <c r="E42" s="365">
        <v>64910.13</v>
      </c>
      <c r="F42" s="327">
        <v>4.75</v>
      </c>
      <c r="G42" s="328">
        <v>2004</v>
      </c>
      <c r="H42" s="328">
        <v>2023</v>
      </c>
      <c r="I42" s="329">
        <v>7644.44</v>
      </c>
      <c r="J42" s="348">
        <f>2280.6+2334.76</f>
        <v>4615.360000000001</v>
      </c>
      <c r="K42" s="305"/>
      <c r="L42" s="348">
        <f t="shared" si="0"/>
        <v>3029.079999999999</v>
      </c>
      <c r="M42" s="306"/>
      <c r="N42" s="366">
        <f t="shared" si="1"/>
        <v>60294.77</v>
      </c>
    </row>
    <row r="43" spans="1:14" s="308" customFormat="1" ht="12.75">
      <c r="A43" s="297">
        <v>4388738</v>
      </c>
      <c r="B43" s="298" t="s">
        <v>20</v>
      </c>
      <c r="C43" s="298" t="s">
        <v>38</v>
      </c>
      <c r="D43" s="299">
        <v>103291.38</v>
      </c>
      <c r="E43" s="365">
        <v>60267.06</v>
      </c>
      <c r="F43" s="301">
        <v>5.5</v>
      </c>
      <c r="G43" s="302">
        <v>2002</v>
      </c>
      <c r="H43" s="302">
        <v>2021</v>
      </c>
      <c r="I43" s="303">
        <v>8579.7</v>
      </c>
      <c r="J43" s="304">
        <f>2632.5+2704.9</f>
        <v>5337.4</v>
      </c>
      <c r="K43" s="305"/>
      <c r="L43" s="304">
        <f t="shared" si="0"/>
        <v>3242.300000000001</v>
      </c>
      <c r="M43" s="306"/>
      <c r="N43" s="307">
        <f t="shared" si="1"/>
        <v>54929.659999999996</v>
      </c>
    </row>
    <row r="44" spans="1:14" s="308" customFormat="1" ht="12.75">
      <c r="A44" s="297">
        <v>4363583</v>
      </c>
      <c r="B44" s="298" t="s">
        <v>20</v>
      </c>
      <c r="C44" s="298" t="s">
        <v>38</v>
      </c>
      <c r="D44" s="299">
        <v>49982.94</v>
      </c>
      <c r="E44" s="365">
        <v>26817.89</v>
      </c>
      <c r="F44" s="301">
        <v>5.75</v>
      </c>
      <c r="G44" s="302">
        <v>2001</v>
      </c>
      <c r="H44" s="302">
        <v>2020</v>
      </c>
      <c r="I44" s="303">
        <v>4229.3</v>
      </c>
      <c r="J44" s="304">
        <f>1343.63+1382.26</f>
        <v>2725.8900000000003</v>
      </c>
      <c r="K44" s="305">
        <v>3030</v>
      </c>
      <c r="L44" s="304">
        <f t="shared" si="0"/>
        <v>1503.4099999999999</v>
      </c>
      <c r="M44" s="306">
        <v>910</v>
      </c>
      <c r="N44" s="307">
        <f t="shared" si="1"/>
        <v>24092</v>
      </c>
    </row>
    <row r="45" spans="1:14" s="308" customFormat="1" ht="12.75">
      <c r="A45" s="335">
        <v>4317938</v>
      </c>
      <c r="B45" s="311" t="s">
        <v>20</v>
      </c>
      <c r="C45" s="311" t="s">
        <v>38</v>
      </c>
      <c r="D45" s="312">
        <v>50396.44</v>
      </c>
      <c r="E45" s="365">
        <v>19222.88</v>
      </c>
      <c r="F45" s="314">
        <v>6.5</v>
      </c>
      <c r="G45" s="315">
        <v>1998</v>
      </c>
      <c r="H45" s="315">
        <v>2017</v>
      </c>
      <c r="I45" s="316">
        <v>4564.72</v>
      </c>
      <c r="J45" s="317">
        <f>1657.61+1711.48</f>
        <v>3369.09</v>
      </c>
      <c r="K45" s="305" t="s">
        <v>42</v>
      </c>
      <c r="L45" s="317">
        <f>I45-J45</f>
        <v>1195.63</v>
      </c>
      <c r="M45" s="306" t="s">
        <v>42</v>
      </c>
      <c r="N45" s="367">
        <f>E45-J45</f>
        <v>15853.79</v>
      </c>
    </row>
    <row r="46" spans="1:14" s="308" customFormat="1" ht="13.5" thickBot="1">
      <c r="A46" s="310" t="s">
        <v>94</v>
      </c>
      <c r="B46" s="298" t="s">
        <v>20</v>
      </c>
      <c r="C46" s="298" t="s">
        <v>85</v>
      </c>
      <c r="D46" s="312">
        <v>130000</v>
      </c>
      <c r="E46" s="313">
        <v>112172.92</v>
      </c>
      <c r="F46" s="314">
        <v>4.39</v>
      </c>
      <c r="G46" s="315">
        <v>2008</v>
      </c>
      <c r="H46" s="315">
        <v>2028</v>
      </c>
      <c r="I46" s="316">
        <v>9832.52</v>
      </c>
      <c r="J46" s="317">
        <f>2454.07+2507.93</f>
        <v>4962</v>
      </c>
      <c r="K46" s="305"/>
      <c r="L46" s="317">
        <f>I46-J46</f>
        <v>4870.52</v>
      </c>
      <c r="M46" s="306"/>
      <c r="N46" s="307">
        <f>E46-J46</f>
        <v>107210.92</v>
      </c>
    </row>
    <row r="47" spans="1:14" ht="13.5" thickBot="1">
      <c r="A47" s="152"/>
      <c r="B47" s="98"/>
      <c r="C47" s="98"/>
      <c r="D47" s="99"/>
      <c r="E47" s="100" t="s">
        <v>42</v>
      </c>
      <c r="F47" s="101"/>
      <c r="G47" s="102"/>
      <c r="H47" s="103" t="s">
        <v>43</v>
      </c>
      <c r="I47" s="104">
        <f>SUM(I42:I46)</f>
        <v>34850.68</v>
      </c>
      <c r="J47" s="100">
        <f>SUM(J42:J46)</f>
        <v>21009.74</v>
      </c>
      <c r="K47" s="224"/>
      <c r="L47" s="100">
        <f t="shared" si="0"/>
        <v>13840.939999999999</v>
      </c>
      <c r="M47" s="224"/>
      <c r="N47" s="169">
        <f>SUM(N42:N46)</f>
        <v>262381.14</v>
      </c>
    </row>
    <row r="48" spans="1:14" s="308" customFormat="1" ht="12.75">
      <c r="A48" s="324">
        <v>4284047</v>
      </c>
      <c r="B48" s="325" t="s">
        <v>20</v>
      </c>
      <c r="C48" s="325" t="s">
        <v>39</v>
      </c>
      <c r="D48" s="326">
        <v>77468.53</v>
      </c>
      <c r="E48" s="365">
        <v>24770.37</v>
      </c>
      <c r="F48" s="327">
        <v>6.5</v>
      </c>
      <c r="G48" s="328">
        <v>1997</v>
      </c>
      <c r="H48" s="328">
        <v>2016</v>
      </c>
      <c r="I48" s="329">
        <v>7132.02</v>
      </c>
      <c r="J48" s="348">
        <f>2760.97+2850.71</f>
        <v>5611.68</v>
      </c>
      <c r="K48" s="305">
        <v>3030</v>
      </c>
      <c r="L48" s="348">
        <f t="shared" si="0"/>
        <v>1520.3400000000001</v>
      </c>
      <c r="M48" s="306">
        <v>930</v>
      </c>
      <c r="N48" s="366">
        <f>E48-J48</f>
        <v>19158.69</v>
      </c>
    </row>
    <row r="49" spans="1:14" s="323" customFormat="1" ht="31.5" thickBot="1">
      <c r="A49" s="310" t="s">
        <v>105</v>
      </c>
      <c r="B49" s="311" t="s">
        <v>20</v>
      </c>
      <c r="C49" s="368" t="s">
        <v>100</v>
      </c>
      <c r="D49" s="312">
        <v>50000</v>
      </c>
      <c r="E49" s="369">
        <v>44940.54</v>
      </c>
      <c r="F49" s="314">
        <v>4.32</v>
      </c>
      <c r="G49" s="315">
        <v>2010</v>
      </c>
      <c r="H49" s="315">
        <v>2029</v>
      </c>
      <c r="I49" s="316">
        <v>3761.52</v>
      </c>
      <c r="J49" s="336">
        <f>908.25+927.91</f>
        <v>1836.1599999999999</v>
      </c>
      <c r="K49" s="320"/>
      <c r="L49" s="321">
        <f>I49-J49</f>
        <v>1925.3600000000001</v>
      </c>
      <c r="M49" s="322"/>
      <c r="N49" s="307">
        <f>E49-J49</f>
        <v>43104.380000000005</v>
      </c>
    </row>
    <row r="50" spans="1:14" ht="13.5" thickBot="1">
      <c r="A50" s="145"/>
      <c r="B50" s="98"/>
      <c r="C50" s="98"/>
      <c r="D50" s="99"/>
      <c r="E50" s="100" t="s">
        <v>42</v>
      </c>
      <c r="F50" s="101"/>
      <c r="G50" s="102"/>
      <c r="H50" s="103" t="s">
        <v>43</v>
      </c>
      <c r="I50" s="163">
        <f>SUM(I48:I49)</f>
        <v>10893.54</v>
      </c>
      <c r="J50" s="162">
        <f>SUM(J48:J49)</f>
        <v>7447.84</v>
      </c>
      <c r="K50" s="224"/>
      <c r="L50" s="106">
        <f t="shared" si="0"/>
        <v>3445.7000000000007</v>
      </c>
      <c r="M50" s="224"/>
      <c r="N50" s="169">
        <f>SUM(N48:N49)</f>
        <v>62263.07000000001</v>
      </c>
    </row>
    <row r="51" spans="1:14" s="308" customFormat="1" ht="13.5" thickBot="1">
      <c r="A51" s="370">
        <v>38497</v>
      </c>
      <c r="B51" s="371" t="s">
        <v>40</v>
      </c>
      <c r="C51" s="371" t="s">
        <v>61</v>
      </c>
      <c r="D51" s="372">
        <v>130481.69</v>
      </c>
      <c r="E51" s="373">
        <v>24631.18</v>
      </c>
      <c r="F51" s="374">
        <v>6</v>
      </c>
      <c r="G51" s="375">
        <v>2002</v>
      </c>
      <c r="H51" s="376">
        <v>2014</v>
      </c>
      <c r="I51" s="316">
        <v>13239.06</v>
      </c>
      <c r="J51" s="317">
        <v>11956.88</v>
      </c>
      <c r="K51" s="305">
        <v>3040</v>
      </c>
      <c r="L51" s="345">
        <f t="shared" si="0"/>
        <v>1282.1800000000003</v>
      </c>
      <c r="M51" s="322">
        <v>950</v>
      </c>
      <c r="N51" s="346">
        <f t="shared" si="1"/>
        <v>12674.300000000001</v>
      </c>
    </row>
    <row r="52" spans="1:14" ht="13.5" thickBot="1">
      <c r="A52" s="145"/>
      <c r="B52" s="98"/>
      <c r="C52" s="98"/>
      <c r="D52" s="99"/>
      <c r="E52" s="100" t="s">
        <v>42</v>
      </c>
      <c r="F52" s="101"/>
      <c r="G52" s="102"/>
      <c r="H52" s="103" t="s">
        <v>43</v>
      </c>
      <c r="I52" s="181">
        <f>SUM(I51)</f>
        <v>13239.06</v>
      </c>
      <c r="J52" s="106">
        <f>SUM(J51)</f>
        <v>11956.88</v>
      </c>
      <c r="K52" s="224"/>
      <c r="L52" s="106">
        <f t="shared" si="0"/>
        <v>1282.1800000000003</v>
      </c>
      <c r="M52" s="224"/>
      <c r="N52" s="169">
        <f>SUM(N51)</f>
        <v>12674.300000000001</v>
      </c>
    </row>
    <row r="53" spans="1:14" ht="13.5" hidden="1" thickBot="1">
      <c r="A53" s="154"/>
      <c r="B53" s="12"/>
      <c r="C53" s="12"/>
      <c r="D53" s="3"/>
      <c r="E53" s="4"/>
      <c r="F53" s="13"/>
      <c r="G53" s="25"/>
      <c r="H53" s="25"/>
      <c r="I53" s="5"/>
      <c r="J53" s="4"/>
      <c r="K53" s="14"/>
      <c r="L53" s="109">
        <f t="shared" si="0"/>
        <v>0</v>
      </c>
      <c r="M53" s="66"/>
      <c r="N53" s="173">
        <f t="shared" si="1"/>
        <v>0</v>
      </c>
    </row>
    <row r="54" spans="1:14" ht="13.5" hidden="1" thickBot="1">
      <c r="A54" s="154"/>
      <c r="B54" s="12"/>
      <c r="C54" s="12"/>
      <c r="D54" s="3"/>
      <c r="E54" s="4"/>
      <c r="F54" s="13"/>
      <c r="G54" s="25"/>
      <c r="H54" s="25"/>
      <c r="I54" s="5"/>
      <c r="J54" s="4"/>
      <c r="K54" s="14"/>
      <c r="L54" s="15">
        <f t="shared" si="0"/>
        <v>0</v>
      </c>
      <c r="M54" s="27"/>
      <c r="N54" s="173">
        <f t="shared" si="1"/>
        <v>0</v>
      </c>
    </row>
    <row r="55" spans="1:14" ht="13.5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5">
        <f t="shared" si="0"/>
        <v>0</v>
      </c>
      <c r="M55" s="27"/>
      <c r="N55" s="173">
        <f t="shared" si="1"/>
        <v>0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aca="true" t="shared" si="2" ref="L67:L81">I67-J67</f>
        <v>0</v>
      </c>
      <c r="M67" s="27"/>
      <c r="N67" s="173">
        <f aca="true" t="shared" si="3" ref="N67:N81">E67-J67</f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2"/>
        <v>0</v>
      </c>
      <c r="M68" s="27"/>
      <c r="N68" s="173">
        <f t="shared" si="3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73">
        <f t="shared" si="3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5"/>
      <c r="B81" s="111"/>
      <c r="C81" s="111"/>
      <c r="D81" s="112"/>
      <c r="E81" s="126"/>
      <c r="F81" s="114"/>
      <c r="G81" s="115"/>
      <c r="H81" s="115"/>
      <c r="I81" s="116"/>
      <c r="J81" s="126"/>
      <c r="K81" s="127"/>
      <c r="L81" s="90">
        <f t="shared" si="2"/>
        <v>0</v>
      </c>
      <c r="M81" s="27"/>
      <c r="N81" s="170">
        <f t="shared" si="3"/>
        <v>0</v>
      </c>
    </row>
    <row r="82" spans="1:14" ht="14.25" thickBot="1" thickTop="1">
      <c r="A82" s="128"/>
      <c r="B82" s="129"/>
      <c r="C82" s="130" t="s">
        <v>8</v>
      </c>
      <c r="D82" s="131">
        <f>SUM(D3:D81)</f>
        <v>3896258.4699999993</v>
      </c>
      <c r="E82" s="132">
        <f>SUM(E3:E81)</f>
        <v>2306019.330000001</v>
      </c>
      <c r="F82" s="133"/>
      <c r="G82" s="133"/>
      <c r="H82" s="133"/>
      <c r="I82" s="134">
        <f>+I12+I18+I21+I35+I41+I47+I50+I52</f>
        <v>322154.56999999995</v>
      </c>
      <c r="J82" s="134">
        <f>+J12+J18+J21+J35+J41+J47+J50+J52</f>
        <v>205516.01999999996</v>
      </c>
      <c r="K82" s="133"/>
      <c r="L82" s="134">
        <f>+L12+L18+L21+L35+L41+L47+L50+L52</f>
        <v>116638.54999999999</v>
      </c>
      <c r="M82" s="135"/>
      <c r="N82" s="136">
        <f>+N12+N18+N21+N35+N41+N47+N50+N52</f>
        <v>2100503.3100000005</v>
      </c>
    </row>
    <row r="83" ht="13.5" thickTop="1"/>
    <row r="85" ht="12.75">
      <c r="A85" s="2" t="s">
        <v>42</v>
      </c>
    </row>
    <row r="86" ht="12.75">
      <c r="J86" s="296"/>
    </row>
    <row r="87" ht="12.75">
      <c r="J87" s="295"/>
    </row>
    <row r="90" ht="12.75">
      <c r="E90" s="295"/>
    </row>
  </sheetData>
  <sheetProtection/>
  <mergeCells count="1">
    <mergeCell ref="A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6">
      <selection activeCell="F83" sqref="F83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00390625" style="2" customWidth="1"/>
    <col min="4" max="5" width="12.00390625" style="2" customWidth="1"/>
    <col min="6" max="8" width="9.140625" style="2" customWidth="1"/>
    <col min="9" max="9" width="10.7109375" style="2" customWidth="1"/>
    <col min="10" max="10" width="11.851562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136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128</v>
      </c>
      <c r="F2" s="138" t="s">
        <v>3</v>
      </c>
      <c r="G2" s="138" t="s">
        <v>4</v>
      </c>
      <c r="H2" s="138" t="s">
        <v>5</v>
      </c>
      <c r="I2" s="138" t="s">
        <v>124</v>
      </c>
      <c r="J2" s="138" t="s">
        <v>125</v>
      </c>
      <c r="K2" s="138" t="s">
        <v>6</v>
      </c>
      <c r="L2" s="138" t="s">
        <v>127</v>
      </c>
      <c r="M2" s="138" t="s">
        <v>6</v>
      </c>
      <c r="N2" s="138" t="s">
        <v>126</v>
      </c>
    </row>
    <row r="3" spans="1:14" s="308" customFormat="1" ht="12.75">
      <c r="A3" s="389">
        <v>4425594</v>
      </c>
      <c r="B3" s="390" t="s">
        <v>7</v>
      </c>
      <c r="C3" s="390" t="s">
        <v>15</v>
      </c>
      <c r="D3" s="391">
        <v>413165</v>
      </c>
      <c r="E3" s="404">
        <v>254678.29</v>
      </c>
      <c r="F3" s="392">
        <v>4.8</v>
      </c>
      <c r="G3" s="393">
        <v>2004</v>
      </c>
      <c r="H3" s="393">
        <v>2023</v>
      </c>
      <c r="I3" s="394">
        <v>32365.92</v>
      </c>
      <c r="J3" s="395">
        <v>20383.06</v>
      </c>
      <c r="K3" s="396" t="s">
        <v>42</v>
      </c>
      <c r="L3" s="395">
        <f>I3-J3</f>
        <v>11982.859999999997</v>
      </c>
      <c r="M3" s="397" t="s">
        <v>42</v>
      </c>
      <c r="N3" s="398">
        <f>E3-J3</f>
        <v>234295.23</v>
      </c>
    </row>
    <row r="4" spans="1:14" s="308" customFormat="1" ht="12.75">
      <c r="A4" s="389">
        <v>44034300</v>
      </c>
      <c r="B4" s="390" t="s">
        <v>7</v>
      </c>
      <c r="C4" s="390" t="s">
        <v>15</v>
      </c>
      <c r="D4" s="391">
        <v>154937.07</v>
      </c>
      <c r="E4" s="404">
        <v>81487.55</v>
      </c>
      <c r="F4" s="392">
        <v>5.25</v>
      </c>
      <c r="G4" s="393">
        <v>2002.2021</v>
      </c>
      <c r="H4" s="393">
        <v>2021</v>
      </c>
      <c r="I4" s="394">
        <v>12605.48</v>
      </c>
      <c r="J4" s="395">
        <v>8436.68</v>
      </c>
      <c r="K4" s="396"/>
      <c r="L4" s="395">
        <f aca="true" t="shared" si="0" ref="L4:L65">I4-J4</f>
        <v>4168.799999999999</v>
      </c>
      <c r="M4" s="397"/>
      <c r="N4" s="398">
        <f aca="true" t="shared" si="1" ref="N4:N65">E4-J4</f>
        <v>73050.87</v>
      </c>
    </row>
    <row r="5" spans="1:14" s="308" customFormat="1" ht="12.75">
      <c r="A5" s="389">
        <v>4370159</v>
      </c>
      <c r="B5" s="390" t="s">
        <v>7</v>
      </c>
      <c r="C5" s="390" t="s">
        <v>15</v>
      </c>
      <c r="D5" s="391">
        <v>103291.38</v>
      </c>
      <c r="E5" s="404">
        <v>49887.14</v>
      </c>
      <c r="F5" s="392">
        <v>5.75</v>
      </c>
      <c r="G5" s="393">
        <v>2001</v>
      </c>
      <c r="H5" s="393">
        <v>2020</v>
      </c>
      <c r="I5" s="394">
        <v>8757.58</v>
      </c>
      <c r="J5" s="395">
        <v>5973.72</v>
      </c>
      <c r="K5" s="396"/>
      <c r="L5" s="395">
        <f t="shared" si="0"/>
        <v>2783.8599999999997</v>
      </c>
      <c r="M5" s="397"/>
      <c r="N5" s="398">
        <f t="shared" si="1"/>
        <v>43913.42</v>
      </c>
    </row>
    <row r="6" spans="1:14" s="308" customFormat="1" ht="12.75">
      <c r="A6" s="399" t="s">
        <v>16</v>
      </c>
      <c r="B6" s="390" t="s">
        <v>7</v>
      </c>
      <c r="C6" s="390" t="s">
        <v>15</v>
      </c>
      <c r="D6" s="391">
        <v>77468.53</v>
      </c>
      <c r="E6" s="404">
        <v>37415.38</v>
      </c>
      <c r="F6" s="392">
        <v>5.75</v>
      </c>
      <c r="G6" s="393">
        <v>2001</v>
      </c>
      <c r="H6" s="393">
        <v>2020</v>
      </c>
      <c r="I6" s="394">
        <v>6568.18</v>
      </c>
      <c r="J6" s="395">
        <v>4480.29</v>
      </c>
      <c r="K6" s="396"/>
      <c r="L6" s="395">
        <f t="shared" si="0"/>
        <v>2087.8900000000003</v>
      </c>
      <c r="M6" s="397"/>
      <c r="N6" s="398">
        <f t="shared" si="1"/>
        <v>32935.09</v>
      </c>
    </row>
    <row r="7" spans="1:14" s="308" customFormat="1" ht="12.75">
      <c r="A7" s="389">
        <v>4354048</v>
      </c>
      <c r="B7" s="390" t="s">
        <v>7</v>
      </c>
      <c r="C7" s="390" t="s">
        <v>15</v>
      </c>
      <c r="D7" s="391">
        <v>179245.09</v>
      </c>
      <c r="E7" s="404">
        <v>53723.01</v>
      </c>
      <c r="F7" s="392">
        <v>0</v>
      </c>
      <c r="G7" s="393">
        <v>2000</v>
      </c>
      <c r="H7" s="393">
        <v>2019</v>
      </c>
      <c r="I7" s="394">
        <f>9792.37+1000</f>
        <v>10792.37</v>
      </c>
      <c r="J7" s="395">
        <f>4476.92+4476.92</f>
        <v>8953.84</v>
      </c>
      <c r="K7" s="396">
        <v>3030</v>
      </c>
      <c r="L7" s="395">
        <f t="shared" si="0"/>
        <v>1838.5300000000007</v>
      </c>
      <c r="M7" s="397">
        <v>283</v>
      </c>
      <c r="N7" s="398">
        <f t="shared" si="1"/>
        <v>44769.17</v>
      </c>
    </row>
    <row r="8" spans="1:14" s="308" customFormat="1" ht="12.75">
      <c r="A8" s="399" t="s">
        <v>17</v>
      </c>
      <c r="B8" s="390" t="s">
        <v>7</v>
      </c>
      <c r="C8" s="390" t="s">
        <v>18</v>
      </c>
      <c r="D8" s="391" t="s">
        <v>42</v>
      </c>
      <c r="E8" s="404">
        <v>1955.24</v>
      </c>
      <c r="F8" s="392">
        <v>6.5</v>
      </c>
      <c r="G8" s="393">
        <v>1998</v>
      </c>
      <c r="H8" s="393">
        <v>2017</v>
      </c>
      <c r="I8" s="394">
        <v>562.98</v>
      </c>
      <c r="J8" s="395">
        <v>442.97</v>
      </c>
      <c r="K8" s="396"/>
      <c r="L8" s="395">
        <f t="shared" si="0"/>
        <v>120.00999999999999</v>
      </c>
      <c r="M8" s="397"/>
      <c r="N8" s="398">
        <f t="shared" si="1"/>
        <v>1512.27</v>
      </c>
    </row>
    <row r="9" spans="1:14" s="308" customFormat="1" ht="12.75">
      <c r="A9" s="389">
        <v>4317939</v>
      </c>
      <c r="B9" s="390" t="s">
        <v>7</v>
      </c>
      <c r="C9" s="390" t="s">
        <v>18</v>
      </c>
      <c r="D9" s="391">
        <v>148739.59</v>
      </c>
      <c r="E9" s="404">
        <v>46926.65</v>
      </c>
      <c r="F9" s="392">
        <v>6.5</v>
      </c>
      <c r="G9" s="393">
        <v>1998</v>
      </c>
      <c r="H9" s="393">
        <v>2017</v>
      </c>
      <c r="I9" s="394">
        <v>13511.4</v>
      </c>
      <c r="J9" s="395">
        <v>10631.16</v>
      </c>
      <c r="K9" s="396"/>
      <c r="L9" s="395">
        <f t="shared" si="0"/>
        <v>2880.24</v>
      </c>
      <c r="M9" s="397"/>
      <c r="N9" s="398">
        <f t="shared" si="1"/>
        <v>36295.490000000005</v>
      </c>
    </row>
    <row r="10" spans="1:14" s="308" customFormat="1" ht="12.75">
      <c r="A10" s="405" t="s">
        <v>77</v>
      </c>
      <c r="B10" s="210" t="s">
        <v>7</v>
      </c>
      <c r="C10" s="210" t="s">
        <v>72</v>
      </c>
      <c r="D10" s="211">
        <v>80000</v>
      </c>
      <c r="E10" s="212">
        <v>54864.36</v>
      </c>
      <c r="F10" s="213">
        <v>3.72</v>
      </c>
      <c r="G10" s="214">
        <v>2006</v>
      </c>
      <c r="H10" s="214">
        <v>2025</v>
      </c>
      <c r="I10" s="215">
        <v>5716.4</v>
      </c>
      <c r="J10" s="216">
        <v>3698.73</v>
      </c>
      <c r="K10" s="396"/>
      <c r="L10" s="216">
        <f>I10-J10</f>
        <v>2017.6699999999996</v>
      </c>
      <c r="M10" s="397"/>
      <c r="N10" s="398">
        <f>E10-J10</f>
        <v>51165.63</v>
      </c>
    </row>
    <row r="11" spans="1:14" s="323" customFormat="1" ht="13.5" thickBot="1">
      <c r="A11" s="406" t="s">
        <v>102</v>
      </c>
      <c r="B11" s="390" t="s">
        <v>20</v>
      </c>
      <c r="C11" s="390" t="s">
        <v>92</v>
      </c>
      <c r="D11" s="391">
        <v>60000</v>
      </c>
      <c r="E11" s="400">
        <v>51973.33</v>
      </c>
      <c r="F11" s="392">
        <v>4.17</v>
      </c>
      <c r="G11" s="393">
        <v>2010</v>
      </c>
      <c r="H11" s="393">
        <v>2029</v>
      </c>
      <c r="I11" s="394">
        <v>4644.1</v>
      </c>
      <c r="J11" s="395">
        <v>2248.56</v>
      </c>
      <c r="K11" s="401"/>
      <c r="L11" s="402">
        <f>I11-J11</f>
        <v>2395.5400000000004</v>
      </c>
      <c r="M11" s="403"/>
      <c r="N11" s="398">
        <f>E11-J11</f>
        <v>49724.770000000004</v>
      </c>
    </row>
    <row r="12" spans="1:14" ht="13.5" thickBot="1">
      <c r="A12" s="145"/>
      <c r="B12" s="98"/>
      <c r="C12" s="98"/>
      <c r="D12" s="99"/>
      <c r="E12" s="162" t="s">
        <v>42</v>
      </c>
      <c r="F12" s="101"/>
      <c r="G12" s="102"/>
      <c r="H12" s="103" t="s">
        <v>43</v>
      </c>
      <c r="I12" s="104">
        <f>SUM(I3:I11)</f>
        <v>95524.40999999999</v>
      </c>
      <c r="J12" s="100">
        <f>SUM(J3:J11)</f>
        <v>65249.01</v>
      </c>
      <c r="K12" s="223"/>
      <c r="L12" s="106">
        <f t="shared" si="0"/>
        <v>30275.399999999987</v>
      </c>
      <c r="M12" s="224"/>
      <c r="N12" s="146">
        <f>SUM(N3:N11)</f>
        <v>567661.94</v>
      </c>
    </row>
    <row r="13" spans="1:14" s="308" customFormat="1" ht="12.75">
      <c r="A13" s="407">
        <v>4367661</v>
      </c>
      <c r="B13" s="408" t="s">
        <v>20</v>
      </c>
      <c r="C13" s="408" t="s">
        <v>21</v>
      </c>
      <c r="D13" s="409">
        <v>51645.69</v>
      </c>
      <c r="E13" s="410">
        <v>24943.55</v>
      </c>
      <c r="F13" s="411">
        <v>5.75</v>
      </c>
      <c r="G13" s="417">
        <v>2001</v>
      </c>
      <c r="H13" s="417">
        <v>2020</v>
      </c>
      <c r="I13" s="418">
        <v>4378.78</v>
      </c>
      <c r="J13" s="419">
        <v>2986.86</v>
      </c>
      <c r="K13" s="420"/>
      <c r="L13" s="421">
        <f t="shared" si="0"/>
        <v>1391.9199999999996</v>
      </c>
      <c r="M13" s="422"/>
      <c r="N13" s="423">
        <f t="shared" si="1"/>
        <v>21956.69</v>
      </c>
    </row>
    <row r="14" spans="1:14" s="308" customFormat="1" ht="12.75">
      <c r="A14" s="424">
        <v>4363580</v>
      </c>
      <c r="B14" s="425" t="s">
        <v>20</v>
      </c>
      <c r="C14" s="425" t="s">
        <v>22</v>
      </c>
      <c r="D14" s="426">
        <v>77468.53</v>
      </c>
      <c r="E14" s="410">
        <v>37415.38</v>
      </c>
      <c r="F14" s="427">
        <v>5.75</v>
      </c>
      <c r="G14" s="428">
        <v>2001</v>
      </c>
      <c r="H14" s="428">
        <v>2020</v>
      </c>
      <c r="I14" s="429">
        <v>6568.18</v>
      </c>
      <c r="J14" s="430">
        <v>4480.29</v>
      </c>
      <c r="K14" s="420"/>
      <c r="L14" s="431">
        <f t="shared" si="0"/>
        <v>2087.8900000000003</v>
      </c>
      <c r="M14" s="422"/>
      <c r="N14" s="432">
        <f t="shared" si="1"/>
        <v>32935.09</v>
      </c>
    </row>
    <row r="15" spans="1:14" s="308" customFormat="1" ht="12.75">
      <c r="A15" s="433" t="s">
        <v>23</v>
      </c>
      <c r="B15" s="425" t="s">
        <v>20</v>
      </c>
      <c r="C15" s="425" t="s">
        <v>24</v>
      </c>
      <c r="D15" s="426">
        <v>55628.72</v>
      </c>
      <c r="E15" s="410">
        <v>18991.78</v>
      </c>
      <c r="F15" s="427">
        <v>4.85</v>
      </c>
      <c r="G15" s="428">
        <v>1999</v>
      </c>
      <c r="H15" s="428">
        <v>2018</v>
      </c>
      <c r="I15" s="429">
        <v>4323.16</v>
      </c>
      <c r="J15" s="430">
        <v>3443.31</v>
      </c>
      <c r="K15" s="420">
        <v>3030</v>
      </c>
      <c r="L15" s="431">
        <f t="shared" si="0"/>
        <v>879.8499999999999</v>
      </c>
      <c r="M15" s="422">
        <v>518</v>
      </c>
      <c r="N15" s="432">
        <f t="shared" si="1"/>
        <v>15548.47</v>
      </c>
    </row>
    <row r="16" spans="1:14" s="308" customFormat="1" ht="12.75">
      <c r="A16" s="434">
        <v>4271244</v>
      </c>
      <c r="B16" s="435" t="s">
        <v>20</v>
      </c>
      <c r="C16" s="435" t="s">
        <v>25</v>
      </c>
      <c r="D16" s="436">
        <v>69205.22</v>
      </c>
      <c r="E16" s="410">
        <v>11857.06</v>
      </c>
      <c r="F16" s="437">
        <v>6.5</v>
      </c>
      <c r="G16" s="438">
        <v>1996</v>
      </c>
      <c r="H16" s="438">
        <v>2015</v>
      </c>
      <c r="I16" s="439">
        <v>6417.96</v>
      </c>
      <c r="J16" s="440">
        <v>5739.03</v>
      </c>
      <c r="K16" s="420"/>
      <c r="L16" s="441">
        <f>I16-J16</f>
        <v>678.9300000000003</v>
      </c>
      <c r="M16" s="422"/>
      <c r="N16" s="432">
        <f>E16-J16</f>
        <v>6118.03</v>
      </c>
    </row>
    <row r="17" spans="1:14" s="323" customFormat="1" ht="13.5" thickBot="1">
      <c r="A17" s="434">
        <v>4555239</v>
      </c>
      <c r="B17" s="435" t="s">
        <v>20</v>
      </c>
      <c r="C17" s="435" t="s">
        <v>110</v>
      </c>
      <c r="D17" s="436">
        <v>127500</v>
      </c>
      <c r="E17" s="410">
        <v>120803.24</v>
      </c>
      <c r="F17" s="437">
        <v>6.51</v>
      </c>
      <c r="G17" s="438">
        <v>2012</v>
      </c>
      <c r="H17" s="438">
        <v>2031</v>
      </c>
      <c r="I17" s="439">
        <v>11495.76</v>
      </c>
      <c r="J17" s="440">
        <v>3684.49</v>
      </c>
      <c r="K17" s="420"/>
      <c r="L17" s="441">
        <f>I17-J17</f>
        <v>7811.27</v>
      </c>
      <c r="M17" s="422"/>
      <c r="N17" s="432">
        <f>E17-J17</f>
        <v>117118.75</v>
      </c>
    </row>
    <row r="18" spans="1:14" ht="13.5" thickBot="1">
      <c r="A18" s="145"/>
      <c r="B18" s="98"/>
      <c r="C18" s="98"/>
      <c r="D18" s="99"/>
      <c r="E18" s="110" t="s">
        <v>42</v>
      </c>
      <c r="F18" s="101"/>
      <c r="G18" s="102"/>
      <c r="H18" s="103" t="s">
        <v>43</v>
      </c>
      <c r="I18" s="104">
        <f>SUM(I13:I17)</f>
        <v>33183.84</v>
      </c>
      <c r="J18" s="100">
        <f>SUM(J13:J17)</f>
        <v>20333.979999999996</v>
      </c>
      <c r="K18" s="223"/>
      <c r="L18" s="106">
        <f t="shared" si="0"/>
        <v>12849.86</v>
      </c>
      <c r="M18" s="224"/>
      <c r="N18" s="169">
        <f>SUM(N13:N17)</f>
        <v>193677.03</v>
      </c>
    </row>
    <row r="19" spans="1:14" s="308" customFormat="1" ht="12.75">
      <c r="A19" s="442">
        <v>22851</v>
      </c>
      <c r="B19" s="443" t="s">
        <v>26</v>
      </c>
      <c r="C19" s="443" t="s">
        <v>27</v>
      </c>
      <c r="D19" s="444">
        <v>77468.53</v>
      </c>
      <c r="E19" s="445">
        <v>20386.93</v>
      </c>
      <c r="F19" s="446">
        <v>5</v>
      </c>
      <c r="G19" s="447">
        <v>2002</v>
      </c>
      <c r="H19" s="447">
        <v>2016</v>
      </c>
      <c r="I19" s="449">
        <v>7402.53</v>
      </c>
      <c r="J19" s="450">
        <v>6462.96</v>
      </c>
      <c r="K19" s="451">
        <v>3040</v>
      </c>
      <c r="L19" s="452">
        <f>I19-J19</f>
        <v>939.5699999999997</v>
      </c>
      <c r="M19" s="453">
        <v>645</v>
      </c>
      <c r="N19" s="454">
        <f>E19-J19</f>
        <v>13923.970000000001</v>
      </c>
    </row>
    <row r="20" spans="1:14" s="323" customFormat="1" ht="13.5" thickBot="1">
      <c r="A20" s="455">
        <v>4550239</v>
      </c>
      <c r="B20" s="456" t="s">
        <v>20</v>
      </c>
      <c r="C20" s="456" t="s">
        <v>93</v>
      </c>
      <c r="D20" s="457">
        <v>114950</v>
      </c>
      <c r="E20" s="458">
        <v>107823.38</v>
      </c>
      <c r="F20" s="459">
        <v>4.93</v>
      </c>
      <c r="G20" s="460">
        <v>2012</v>
      </c>
      <c r="H20" s="460">
        <v>2031</v>
      </c>
      <c r="I20" s="461">
        <v>9111.38</v>
      </c>
      <c r="J20" s="462">
        <v>3832.73</v>
      </c>
      <c r="K20" s="396">
        <v>3030</v>
      </c>
      <c r="L20" s="463">
        <f>I20-J20</f>
        <v>5278.65</v>
      </c>
      <c r="M20" s="403">
        <v>645</v>
      </c>
      <c r="N20" s="464">
        <f>E20-J20</f>
        <v>103990.65000000001</v>
      </c>
    </row>
    <row r="21" spans="1:14" ht="13.5" thickBot="1">
      <c r="A21" s="145"/>
      <c r="B21" s="98"/>
      <c r="C21" s="98"/>
      <c r="D21" s="99"/>
      <c r="E21" s="100" t="s">
        <v>42</v>
      </c>
      <c r="F21" s="101"/>
      <c r="G21" s="103"/>
      <c r="H21" s="103" t="s">
        <v>43</v>
      </c>
      <c r="I21" s="104">
        <f>SUM(I19:I20)</f>
        <v>16513.91</v>
      </c>
      <c r="J21" s="100">
        <f>SUM(J19:J20)</f>
        <v>10295.69</v>
      </c>
      <c r="K21" s="224"/>
      <c r="L21" s="106">
        <f t="shared" si="0"/>
        <v>6218.219999999999</v>
      </c>
      <c r="M21" s="224"/>
      <c r="N21" s="169">
        <f>SUM(N19:N20)</f>
        <v>117914.62000000001</v>
      </c>
    </row>
    <row r="22" spans="1:14" s="308" customFormat="1" ht="12.75">
      <c r="A22" s="465" t="s">
        <v>28</v>
      </c>
      <c r="B22" s="466" t="s">
        <v>20</v>
      </c>
      <c r="C22" s="466" t="s">
        <v>29</v>
      </c>
      <c r="D22" s="467">
        <v>17559.53</v>
      </c>
      <c r="E22" s="468">
        <v>8480.8</v>
      </c>
      <c r="F22" s="469">
        <v>5.75</v>
      </c>
      <c r="G22" s="470">
        <v>2001</v>
      </c>
      <c r="H22" s="470">
        <v>2020</v>
      </c>
      <c r="I22" s="471">
        <v>1488.78</v>
      </c>
      <c r="J22" s="472">
        <v>1015.53</v>
      </c>
      <c r="K22" s="473"/>
      <c r="L22" s="472">
        <f t="shared" si="0"/>
        <v>473.25</v>
      </c>
      <c r="M22" s="474"/>
      <c r="N22" s="475">
        <f t="shared" si="1"/>
        <v>7465.2699999999995</v>
      </c>
    </row>
    <row r="23" spans="1:14" s="308" customFormat="1" ht="12.75">
      <c r="A23" s="476">
        <v>4364549</v>
      </c>
      <c r="B23" s="477" t="s">
        <v>20</v>
      </c>
      <c r="C23" s="477" t="s">
        <v>29</v>
      </c>
      <c r="D23" s="478">
        <v>137377.54</v>
      </c>
      <c r="E23" s="480">
        <v>66349.95</v>
      </c>
      <c r="F23" s="481">
        <v>5.75</v>
      </c>
      <c r="G23" s="482">
        <v>2001</v>
      </c>
      <c r="H23" s="482">
        <v>2020</v>
      </c>
      <c r="I23" s="483">
        <v>11647.56</v>
      </c>
      <c r="J23" s="484">
        <v>7945.04</v>
      </c>
      <c r="K23" s="473"/>
      <c r="L23" s="484">
        <f t="shared" si="0"/>
        <v>3702.5199999999995</v>
      </c>
      <c r="M23" s="474"/>
      <c r="N23" s="485">
        <f t="shared" si="1"/>
        <v>58404.909999999996</v>
      </c>
    </row>
    <row r="24" spans="1:14" s="308" customFormat="1" ht="12.75">
      <c r="A24" s="476">
        <v>4297871</v>
      </c>
      <c r="B24" s="477" t="s">
        <v>20</v>
      </c>
      <c r="C24" s="477" t="s">
        <v>29</v>
      </c>
      <c r="D24" s="478">
        <v>129114.22</v>
      </c>
      <c r="E24" s="480">
        <v>31793.85</v>
      </c>
      <c r="F24" s="481">
        <v>6.5</v>
      </c>
      <c r="G24" s="482">
        <v>1997</v>
      </c>
      <c r="H24" s="482">
        <v>2016</v>
      </c>
      <c r="I24" s="483">
        <v>11835.58</v>
      </c>
      <c r="J24" s="484">
        <v>9927.73</v>
      </c>
      <c r="K24" s="473"/>
      <c r="L24" s="484">
        <f t="shared" si="0"/>
        <v>1907.8500000000004</v>
      </c>
      <c r="M24" s="474"/>
      <c r="N24" s="485">
        <f t="shared" si="1"/>
        <v>21866.12</v>
      </c>
    </row>
    <row r="25" spans="1:14" s="308" customFormat="1" ht="12.75">
      <c r="A25" s="476">
        <v>4268507</v>
      </c>
      <c r="B25" s="477" t="s">
        <v>20</v>
      </c>
      <c r="C25" s="477" t="s">
        <v>29</v>
      </c>
      <c r="D25" s="478">
        <v>77468.53</v>
      </c>
      <c r="E25" s="480">
        <v>13272.91</v>
      </c>
      <c r="F25" s="481">
        <v>6.5</v>
      </c>
      <c r="G25" s="482">
        <v>1996</v>
      </c>
      <c r="H25" s="482">
        <v>2015</v>
      </c>
      <c r="I25" s="483">
        <v>7184.3</v>
      </c>
      <c r="J25" s="484">
        <v>6424.28</v>
      </c>
      <c r="K25" s="473"/>
      <c r="L25" s="484">
        <f t="shared" si="0"/>
        <v>760.0200000000004</v>
      </c>
      <c r="M25" s="474"/>
      <c r="N25" s="485">
        <f t="shared" si="1"/>
        <v>6848.63</v>
      </c>
    </row>
    <row r="26" spans="1:14" s="308" customFormat="1" ht="12.75">
      <c r="A26" s="486" t="s">
        <v>30</v>
      </c>
      <c r="B26" s="477" t="s">
        <v>20</v>
      </c>
      <c r="C26" s="477" t="s">
        <v>29</v>
      </c>
      <c r="D26" s="478">
        <v>74741.64</v>
      </c>
      <c r="E26" s="480">
        <v>11041.83</v>
      </c>
      <c r="F26" s="481">
        <v>6.5</v>
      </c>
      <c r="G26" s="482">
        <v>1981</v>
      </c>
      <c r="H26" s="482">
        <v>2015</v>
      </c>
      <c r="I26" s="483">
        <v>5976.68</v>
      </c>
      <c r="J26" s="484">
        <v>5344.42</v>
      </c>
      <c r="K26" s="473">
        <v>3030</v>
      </c>
      <c r="L26" s="484">
        <f t="shared" si="0"/>
        <v>632.2600000000002</v>
      </c>
      <c r="M26" s="474">
        <v>760</v>
      </c>
      <c r="N26" s="485">
        <f t="shared" si="1"/>
        <v>5697.41</v>
      </c>
    </row>
    <row r="27" spans="1:14" s="308" customFormat="1" ht="13.5" customHeight="1">
      <c r="A27" s="487">
        <v>4464738</v>
      </c>
      <c r="B27" s="477" t="s">
        <v>20</v>
      </c>
      <c r="C27" s="477" t="s">
        <v>29</v>
      </c>
      <c r="D27" s="488">
        <v>160000</v>
      </c>
      <c r="E27" s="480">
        <v>108542.59</v>
      </c>
      <c r="F27" s="489">
        <v>3.4</v>
      </c>
      <c r="G27" s="490">
        <v>2006</v>
      </c>
      <c r="H27" s="490">
        <v>2025</v>
      </c>
      <c r="I27" s="491">
        <v>11091.2</v>
      </c>
      <c r="J27" s="492">
        <v>7463.65</v>
      </c>
      <c r="K27" s="473"/>
      <c r="L27" s="492">
        <f t="shared" si="0"/>
        <v>3627.550000000001</v>
      </c>
      <c r="M27" s="474"/>
      <c r="N27" s="485">
        <f t="shared" si="1"/>
        <v>101078.94</v>
      </c>
    </row>
    <row r="28" spans="1:14" s="308" customFormat="1" ht="12.75">
      <c r="A28" s="487">
        <v>4478664</v>
      </c>
      <c r="B28" s="477" t="s">
        <v>20</v>
      </c>
      <c r="C28" s="477" t="s">
        <v>29</v>
      </c>
      <c r="D28" s="488">
        <v>53000</v>
      </c>
      <c r="E28" s="480">
        <v>35954.74</v>
      </c>
      <c r="F28" s="489">
        <v>3.4</v>
      </c>
      <c r="G28" s="490">
        <v>2006</v>
      </c>
      <c r="H28" s="490">
        <v>2026</v>
      </c>
      <c r="I28" s="491">
        <v>3673.96</v>
      </c>
      <c r="J28" s="492">
        <v>2472.34</v>
      </c>
      <c r="K28" s="473"/>
      <c r="L28" s="492">
        <f t="shared" si="0"/>
        <v>1201.62</v>
      </c>
      <c r="M28" s="474"/>
      <c r="N28" s="485">
        <f t="shared" si="1"/>
        <v>33482.399999999994</v>
      </c>
    </row>
    <row r="29" spans="1:14" s="308" customFormat="1" ht="12.75">
      <c r="A29" s="493" t="s">
        <v>76</v>
      </c>
      <c r="B29" s="477" t="s">
        <v>20</v>
      </c>
      <c r="C29" s="477" t="s">
        <v>73</v>
      </c>
      <c r="D29" s="488">
        <v>100000</v>
      </c>
      <c r="E29" s="494">
        <v>68537.09</v>
      </c>
      <c r="F29" s="489">
        <v>3.72</v>
      </c>
      <c r="G29" s="490">
        <v>2006</v>
      </c>
      <c r="H29" s="490">
        <v>2025</v>
      </c>
      <c r="I29" s="491">
        <v>7132.84</v>
      </c>
      <c r="J29" s="492">
        <v>4625.88</v>
      </c>
      <c r="K29" s="473"/>
      <c r="L29" s="492">
        <f t="shared" si="0"/>
        <v>2506.96</v>
      </c>
      <c r="M29" s="474"/>
      <c r="N29" s="485">
        <f t="shared" si="1"/>
        <v>63911.21</v>
      </c>
    </row>
    <row r="30" spans="1:15" s="352" customFormat="1" ht="12.75">
      <c r="A30" s="493" t="s">
        <v>104</v>
      </c>
      <c r="B30" s="477" t="s">
        <v>20</v>
      </c>
      <c r="C30" s="477" t="s">
        <v>78</v>
      </c>
      <c r="D30" s="488">
        <v>120000</v>
      </c>
      <c r="E30" s="494">
        <v>103450.49</v>
      </c>
      <c r="F30" s="489">
        <v>4.32</v>
      </c>
      <c r="G30" s="490">
        <v>2010</v>
      </c>
      <c r="H30" s="490">
        <v>2029</v>
      </c>
      <c r="I30" s="491">
        <v>9027.68</v>
      </c>
      <c r="J30" s="492">
        <v>4599.57</v>
      </c>
      <c r="K30" s="473"/>
      <c r="L30" s="492">
        <f t="shared" si="0"/>
        <v>4428.110000000001</v>
      </c>
      <c r="M30" s="474"/>
      <c r="N30" s="485">
        <f t="shared" si="1"/>
        <v>98850.92000000001</v>
      </c>
      <c r="O30" s="308"/>
    </row>
    <row r="31" spans="1:15" s="352" customFormat="1" ht="21">
      <c r="A31" s="493" t="s">
        <v>103</v>
      </c>
      <c r="B31" s="495" t="s">
        <v>20</v>
      </c>
      <c r="C31" s="496" t="s">
        <v>107</v>
      </c>
      <c r="D31" s="488">
        <v>90000</v>
      </c>
      <c r="E31" s="480">
        <v>77565.12</v>
      </c>
      <c r="F31" s="489">
        <v>4.3</v>
      </c>
      <c r="G31" s="490">
        <v>2010</v>
      </c>
      <c r="H31" s="490">
        <v>2029</v>
      </c>
      <c r="I31" s="491">
        <v>6759.04</v>
      </c>
      <c r="J31" s="497">
        <v>3454.35</v>
      </c>
      <c r="K31" s="498"/>
      <c r="L31" s="499">
        <f t="shared" si="0"/>
        <v>3304.69</v>
      </c>
      <c r="M31" s="500"/>
      <c r="N31" s="485">
        <f t="shared" si="1"/>
        <v>74110.76999999999</v>
      </c>
      <c r="O31" s="308"/>
    </row>
    <row r="32" spans="1:14" s="352" customFormat="1" ht="21">
      <c r="A32" s="493" t="s">
        <v>117</v>
      </c>
      <c r="B32" s="495" t="s">
        <v>20</v>
      </c>
      <c r="C32" s="496" t="s">
        <v>108</v>
      </c>
      <c r="D32" s="488">
        <v>152925</v>
      </c>
      <c r="E32" s="480">
        <v>137419.16</v>
      </c>
      <c r="F32" s="489">
        <v>4.43</v>
      </c>
      <c r="G32" s="490">
        <v>2011</v>
      </c>
      <c r="H32" s="490">
        <v>2029</v>
      </c>
      <c r="I32" s="491">
        <v>11483.74</v>
      </c>
      <c r="J32" s="497">
        <v>5625.02</v>
      </c>
      <c r="K32" s="498"/>
      <c r="L32" s="499">
        <f t="shared" si="0"/>
        <v>5858.719999999999</v>
      </c>
      <c r="M32" s="500"/>
      <c r="N32" s="501">
        <f t="shared" si="1"/>
        <v>131794.14</v>
      </c>
    </row>
    <row r="33" spans="1:14" s="352" customFormat="1" ht="13.5" thickBot="1">
      <c r="A33" s="502">
        <v>4555218</v>
      </c>
      <c r="B33" s="503" t="s">
        <v>20</v>
      </c>
      <c r="C33" s="503" t="s">
        <v>109</v>
      </c>
      <c r="D33" s="504">
        <v>67572.27</v>
      </c>
      <c r="E33" s="505">
        <v>64023.13</v>
      </c>
      <c r="F33" s="506">
        <v>6.51</v>
      </c>
      <c r="G33" s="507">
        <v>2012</v>
      </c>
      <c r="H33" s="507">
        <v>2031</v>
      </c>
      <c r="I33" s="508">
        <v>6092.5</v>
      </c>
      <c r="J33" s="509">
        <v>1952.7</v>
      </c>
      <c r="K33" s="510"/>
      <c r="L33" s="509">
        <f>I33-J33</f>
        <v>4139.8</v>
      </c>
      <c r="M33" s="511"/>
      <c r="N33" s="505">
        <f>E33-J33</f>
        <v>62070.43</v>
      </c>
    </row>
    <row r="34" spans="1:14" ht="13.5" thickBot="1">
      <c r="A34" s="145"/>
      <c r="B34" s="98"/>
      <c r="C34" s="98"/>
      <c r="D34" s="99"/>
      <c r="E34" s="232" t="s">
        <v>42</v>
      </c>
      <c r="F34" s="101"/>
      <c r="G34" s="102"/>
      <c r="H34" s="103" t="s">
        <v>43</v>
      </c>
      <c r="I34" s="104">
        <f>SUM(I22:I33)</f>
        <v>93393.85999999999</v>
      </c>
      <c r="J34" s="100">
        <f>SUM(J22:J33)</f>
        <v>60850.509999999995</v>
      </c>
      <c r="K34" s="224"/>
      <c r="L34" s="106">
        <f t="shared" si="0"/>
        <v>32543.34999999999</v>
      </c>
      <c r="M34" s="224"/>
      <c r="N34" s="169">
        <f>SUM(N22:N33)</f>
        <v>665581.1500000001</v>
      </c>
    </row>
    <row r="35" spans="1:14" s="308" customFormat="1" ht="12.75">
      <c r="A35" s="512" t="s">
        <v>32</v>
      </c>
      <c r="B35" s="513" t="s">
        <v>20</v>
      </c>
      <c r="C35" s="513" t="s">
        <v>33</v>
      </c>
      <c r="D35" s="514">
        <v>13180.75</v>
      </c>
      <c r="E35" s="515">
        <v>4158.49</v>
      </c>
      <c r="F35" s="516">
        <v>6.5</v>
      </c>
      <c r="G35" s="517">
        <v>1998</v>
      </c>
      <c r="H35" s="517">
        <v>2017</v>
      </c>
      <c r="I35" s="518">
        <v>1197.32</v>
      </c>
      <c r="J35" s="519">
        <v>942.09</v>
      </c>
      <c r="K35" s="520"/>
      <c r="L35" s="519">
        <f t="shared" si="0"/>
        <v>255.2299999999999</v>
      </c>
      <c r="M35" s="521"/>
      <c r="N35" s="522">
        <f t="shared" si="1"/>
        <v>3216.3999999999996</v>
      </c>
    </row>
    <row r="36" spans="1:14" s="308" customFormat="1" ht="12.75">
      <c r="A36" s="523">
        <v>4317937</v>
      </c>
      <c r="B36" s="524" t="s">
        <v>20</v>
      </c>
      <c r="C36" s="524" t="s">
        <v>33</v>
      </c>
      <c r="D36" s="525">
        <v>90110.63</v>
      </c>
      <c r="E36" s="515">
        <v>28429.51</v>
      </c>
      <c r="F36" s="526">
        <v>6.5</v>
      </c>
      <c r="G36" s="527">
        <v>1998</v>
      </c>
      <c r="H36" s="527">
        <v>2017</v>
      </c>
      <c r="I36" s="528">
        <v>8185.58</v>
      </c>
      <c r="J36" s="529">
        <v>6440.65</v>
      </c>
      <c r="K36" s="520"/>
      <c r="L36" s="529">
        <f t="shared" si="0"/>
        <v>1744.9300000000003</v>
      </c>
      <c r="M36" s="521"/>
      <c r="N36" s="530">
        <f t="shared" si="1"/>
        <v>21988.86</v>
      </c>
    </row>
    <row r="37" spans="1:14" s="308" customFormat="1" ht="12.75">
      <c r="A37" s="531" t="s">
        <v>34</v>
      </c>
      <c r="B37" s="524" t="s">
        <v>20</v>
      </c>
      <c r="C37" s="524" t="s">
        <v>33</v>
      </c>
      <c r="D37" s="525">
        <v>51645.69</v>
      </c>
      <c r="E37" s="515">
        <v>16293.92</v>
      </c>
      <c r="F37" s="526">
        <v>6.5</v>
      </c>
      <c r="G37" s="527">
        <v>1998</v>
      </c>
      <c r="H37" s="527">
        <v>2017</v>
      </c>
      <c r="I37" s="528">
        <v>4691.46</v>
      </c>
      <c r="J37" s="529">
        <v>3691.38</v>
      </c>
      <c r="K37" s="520"/>
      <c r="L37" s="529">
        <f t="shared" si="0"/>
        <v>1000.0799999999999</v>
      </c>
      <c r="M37" s="521"/>
      <c r="N37" s="530">
        <f t="shared" si="1"/>
        <v>12602.54</v>
      </c>
    </row>
    <row r="38" spans="1:14" s="308" customFormat="1" ht="12.75">
      <c r="A38" s="523">
        <v>4297902</v>
      </c>
      <c r="B38" s="524" t="s">
        <v>20</v>
      </c>
      <c r="C38" s="524" t="s">
        <v>33</v>
      </c>
      <c r="D38" s="525">
        <v>51645.69</v>
      </c>
      <c r="E38" s="515">
        <v>12717.61</v>
      </c>
      <c r="F38" s="526">
        <v>6.5</v>
      </c>
      <c r="G38" s="527">
        <v>1997</v>
      </c>
      <c r="H38" s="527">
        <v>2016</v>
      </c>
      <c r="I38" s="528">
        <v>4734.24</v>
      </c>
      <c r="J38" s="529">
        <v>3971.08</v>
      </c>
      <c r="K38" s="520">
        <v>3030</v>
      </c>
      <c r="L38" s="529">
        <f t="shared" si="0"/>
        <v>763.1599999999999</v>
      </c>
      <c r="M38" s="521">
        <v>820</v>
      </c>
      <c r="N38" s="530">
        <f t="shared" si="1"/>
        <v>8746.53</v>
      </c>
    </row>
    <row r="39" spans="1:14" s="308" customFormat="1" ht="13.5" thickBot="1">
      <c r="A39" s="523">
        <v>3078427</v>
      </c>
      <c r="B39" s="524" t="s">
        <v>20</v>
      </c>
      <c r="C39" s="524" t="s">
        <v>33</v>
      </c>
      <c r="D39" s="525">
        <v>144.61</v>
      </c>
      <c r="E39" s="515">
        <v>21.34</v>
      </c>
      <c r="F39" s="526">
        <v>6.5</v>
      </c>
      <c r="G39" s="527">
        <v>1981</v>
      </c>
      <c r="H39" s="527">
        <v>2015</v>
      </c>
      <c r="I39" s="528">
        <v>11.56</v>
      </c>
      <c r="J39" s="529">
        <v>10.34</v>
      </c>
      <c r="K39" s="520"/>
      <c r="L39" s="529">
        <f t="shared" si="0"/>
        <v>1.2200000000000006</v>
      </c>
      <c r="M39" s="521"/>
      <c r="N39" s="530">
        <f t="shared" si="1"/>
        <v>11</v>
      </c>
    </row>
    <row r="40" spans="1:14" ht="13.5" thickBot="1">
      <c r="A40" s="145"/>
      <c r="B40" s="98"/>
      <c r="C40" s="98"/>
      <c r="D40" s="99"/>
      <c r="E40" s="100" t="s">
        <v>42</v>
      </c>
      <c r="F40" s="101"/>
      <c r="G40" s="102"/>
      <c r="H40" s="103" t="s">
        <v>43</v>
      </c>
      <c r="I40" s="104">
        <f>SUM(I35:I39)</f>
        <v>18820.16</v>
      </c>
      <c r="J40" s="100">
        <f>SUM(J35:J39)</f>
        <v>15055.539999999999</v>
      </c>
      <c r="K40" s="224"/>
      <c r="L40" s="106">
        <f t="shared" si="0"/>
        <v>3764.620000000001</v>
      </c>
      <c r="M40" s="224"/>
      <c r="N40" s="169">
        <f>SUM(N35:N39)</f>
        <v>46565.33</v>
      </c>
    </row>
    <row r="41" spans="1:14" s="308" customFormat="1" ht="12.75">
      <c r="A41" s="532">
        <v>4444717</v>
      </c>
      <c r="B41" s="533" t="s">
        <v>20</v>
      </c>
      <c r="C41" s="533" t="s">
        <v>38</v>
      </c>
      <c r="D41" s="534">
        <v>98000</v>
      </c>
      <c r="E41" s="535">
        <v>60294.77</v>
      </c>
      <c r="F41" s="536">
        <v>4.75</v>
      </c>
      <c r="G41" s="537">
        <v>2004</v>
      </c>
      <c r="H41" s="537">
        <v>2023</v>
      </c>
      <c r="I41" s="538">
        <v>7644.44</v>
      </c>
      <c r="J41" s="539">
        <v>4837.2</v>
      </c>
      <c r="K41" s="540"/>
      <c r="L41" s="539">
        <f t="shared" si="0"/>
        <v>2807.24</v>
      </c>
      <c r="M41" s="541"/>
      <c r="N41" s="542">
        <f t="shared" si="1"/>
        <v>55457.57</v>
      </c>
    </row>
    <row r="42" spans="1:14" s="308" customFormat="1" ht="12.75">
      <c r="A42" s="543">
        <v>4388738</v>
      </c>
      <c r="B42" s="544" t="s">
        <v>20</v>
      </c>
      <c r="C42" s="544" t="s">
        <v>38</v>
      </c>
      <c r="D42" s="545">
        <v>103291.38</v>
      </c>
      <c r="E42" s="535">
        <v>54929.66</v>
      </c>
      <c r="F42" s="546">
        <v>5.5</v>
      </c>
      <c r="G42" s="547">
        <v>2002</v>
      </c>
      <c r="H42" s="547">
        <v>2021</v>
      </c>
      <c r="I42" s="548">
        <v>8579.7</v>
      </c>
      <c r="J42" s="549">
        <v>5634.99</v>
      </c>
      <c r="K42" s="540"/>
      <c r="L42" s="549">
        <f t="shared" si="0"/>
        <v>2944.710000000001</v>
      </c>
      <c r="M42" s="541"/>
      <c r="N42" s="550">
        <f t="shared" si="1"/>
        <v>49294.670000000006</v>
      </c>
    </row>
    <row r="43" spans="1:14" s="308" customFormat="1" ht="12.75">
      <c r="A43" s="543">
        <v>4363583</v>
      </c>
      <c r="B43" s="544" t="s">
        <v>20</v>
      </c>
      <c r="C43" s="544" t="s">
        <v>38</v>
      </c>
      <c r="D43" s="545">
        <v>49982.94</v>
      </c>
      <c r="E43" s="535">
        <v>24092</v>
      </c>
      <c r="F43" s="546">
        <v>5.75</v>
      </c>
      <c r="G43" s="547">
        <v>2001</v>
      </c>
      <c r="H43" s="547">
        <v>2020</v>
      </c>
      <c r="I43" s="548">
        <v>4229.3</v>
      </c>
      <c r="J43" s="549">
        <v>2884.88</v>
      </c>
      <c r="K43" s="540">
        <v>3030</v>
      </c>
      <c r="L43" s="549">
        <f t="shared" si="0"/>
        <v>1344.42</v>
      </c>
      <c r="M43" s="541">
        <v>910</v>
      </c>
      <c r="N43" s="550">
        <f t="shared" si="1"/>
        <v>21207.12</v>
      </c>
    </row>
    <row r="44" spans="1:14" s="308" customFormat="1" ht="12.75">
      <c r="A44" s="551">
        <v>4317938</v>
      </c>
      <c r="B44" s="552" t="s">
        <v>20</v>
      </c>
      <c r="C44" s="552" t="s">
        <v>38</v>
      </c>
      <c r="D44" s="553">
        <v>50396.44</v>
      </c>
      <c r="E44" s="535">
        <v>15853.79</v>
      </c>
      <c r="F44" s="554">
        <v>6.5</v>
      </c>
      <c r="G44" s="555">
        <v>1998</v>
      </c>
      <c r="H44" s="555">
        <v>2017</v>
      </c>
      <c r="I44" s="556">
        <v>4564.72</v>
      </c>
      <c r="J44" s="557">
        <v>3591.65</v>
      </c>
      <c r="K44" s="540" t="s">
        <v>42</v>
      </c>
      <c r="L44" s="557">
        <f>I44-J44</f>
        <v>973.0700000000002</v>
      </c>
      <c r="M44" s="541" t="s">
        <v>42</v>
      </c>
      <c r="N44" s="558">
        <f>E44-J44</f>
        <v>12262.140000000001</v>
      </c>
    </row>
    <row r="45" spans="1:14" s="308" customFormat="1" ht="13.5" thickBot="1">
      <c r="A45" s="559" t="s">
        <v>94</v>
      </c>
      <c r="B45" s="544" t="s">
        <v>20</v>
      </c>
      <c r="C45" s="544" t="s">
        <v>85</v>
      </c>
      <c r="D45" s="553">
        <v>130000</v>
      </c>
      <c r="E45" s="560">
        <v>107210.92</v>
      </c>
      <c r="F45" s="554">
        <v>4.39</v>
      </c>
      <c r="G45" s="555">
        <v>2008</v>
      </c>
      <c r="H45" s="555">
        <v>2028</v>
      </c>
      <c r="I45" s="556">
        <v>9832.52</v>
      </c>
      <c r="J45" s="557">
        <v>5182.22</v>
      </c>
      <c r="K45" s="540"/>
      <c r="L45" s="557">
        <f>I45-J45</f>
        <v>4650.3</v>
      </c>
      <c r="M45" s="541"/>
      <c r="N45" s="550">
        <f>E45-J45</f>
        <v>102028.7</v>
      </c>
    </row>
    <row r="46" spans="1:14" ht="13.5" thickBot="1">
      <c r="A46" s="152"/>
      <c r="B46" s="98"/>
      <c r="C46" s="98"/>
      <c r="D46" s="99"/>
      <c r="E46" s="100" t="s">
        <v>42</v>
      </c>
      <c r="F46" s="101"/>
      <c r="G46" s="102"/>
      <c r="H46" s="103" t="s">
        <v>43</v>
      </c>
      <c r="I46" s="104">
        <f>SUM(I41:I45)</f>
        <v>34850.68</v>
      </c>
      <c r="J46" s="100">
        <f>SUM(J41:J45)</f>
        <v>22130.940000000002</v>
      </c>
      <c r="K46" s="224"/>
      <c r="L46" s="100">
        <f t="shared" si="0"/>
        <v>12719.739999999998</v>
      </c>
      <c r="M46" s="224"/>
      <c r="N46" s="169">
        <f>SUM(N41:N45)</f>
        <v>240250.2</v>
      </c>
    </row>
    <row r="47" spans="1:14" s="308" customFormat="1" ht="12.75">
      <c r="A47" s="561">
        <v>4284047</v>
      </c>
      <c r="B47" s="562" t="s">
        <v>20</v>
      </c>
      <c r="C47" s="562" t="s">
        <v>39</v>
      </c>
      <c r="D47" s="563">
        <v>77468.53</v>
      </c>
      <c r="E47" s="564">
        <v>19158.69</v>
      </c>
      <c r="F47" s="565">
        <v>6.5</v>
      </c>
      <c r="G47" s="566">
        <v>1997</v>
      </c>
      <c r="H47" s="566">
        <v>2016</v>
      </c>
      <c r="I47" s="567">
        <v>7132.02</v>
      </c>
      <c r="J47" s="568">
        <v>5982.36</v>
      </c>
      <c r="K47" s="569">
        <v>3030</v>
      </c>
      <c r="L47" s="568">
        <f t="shared" si="0"/>
        <v>1149.6600000000008</v>
      </c>
      <c r="M47" s="570">
        <v>930</v>
      </c>
      <c r="N47" s="571">
        <f>E47-J47</f>
        <v>13176.329999999998</v>
      </c>
    </row>
    <row r="48" spans="1:14" s="323" customFormat="1" ht="31.5" thickBot="1">
      <c r="A48" s="572" t="s">
        <v>105</v>
      </c>
      <c r="B48" s="573" t="s">
        <v>20</v>
      </c>
      <c r="C48" s="574" t="s">
        <v>100</v>
      </c>
      <c r="D48" s="575">
        <v>50000</v>
      </c>
      <c r="E48" s="576">
        <v>43104.38</v>
      </c>
      <c r="F48" s="577">
        <v>4.32</v>
      </c>
      <c r="G48" s="578">
        <v>2010</v>
      </c>
      <c r="H48" s="578">
        <v>2029</v>
      </c>
      <c r="I48" s="579">
        <v>3761.52</v>
      </c>
      <c r="J48" s="580">
        <v>1916.49</v>
      </c>
      <c r="K48" s="581"/>
      <c r="L48" s="582">
        <f>I48-J48</f>
        <v>1845.03</v>
      </c>
      <c r="M48" s="583"/>
      <c r="N48" s="584">
        <f>E48-J48</f>
        <v>41187.89</v>
      </c>
    </row>
    <row r="49" spans="1:14" ht="13.5" thickBot="1">
      <c r="A49" s="145"/>
      <c r="B49" s="98"/>
      <c r="C49" s="98"/>
      <c r="D49" s="99"/>
      <c r="E49" s="100" t="s">
        <v>42</v>
      </c>
      <c r="F49" s="101"/>
      <c r="G49" s="102"/>
      <c r="H49" s="103" t="s">
        <v>43</v>
      </c>
      <c r="I49" s="163">
        <f>SUM(I47:I48)</f>
        <v>10893.54</v>
      </c>
      <c r="J49" s="162">
        <f>SUM(J47:J48)</f>
        <v>7898.849999999999</v>
      </c>
      <c r="K49" s="224"/>
      <c r="L49" s="106">
        <f t="shared" si="0"/>
        <v>2994.6900000000014</v>
      </c>
      <c r="M49" s="224"/>
      <c r="N49" s="169">
        <f>SUM(N47:N48)</f>
        <v>54364.22</v>
      </c>
    </row>
    <row r="50" spans="1:14" s="308" customFormat="1" ht="13.5" thickBot="1">
      <c r="A50" s="585">
        <v>38497</v>
      </c>
      <c r="B50" s="586" t="s">
        <v>40</v>
      </c>
      <c r="C50" s="586" t="s">
        <v>61</v>
      </c>
      <c r="D50" s="587">
        <v>130481.69</v>
      </c>
      <c r="E50" s="588">
        <v>12674.3</v>
      </c>
      <c r="F50" s="589">
        <v>6</v>
      </c>
      <c r="G50" s="590">
        <v>2002</v>
      </c>
      <c r="H50" s="591">
        <v>2014</v>
      </c>
      <c r="I50" s="215">
        <v>13239.06</v>
      </c>
      <c r="J50" s="216">
        <v>12674.3</v>
      </c>
      <c r="K50" s="396">
        <v>3040</v>
      </c>
      <c r="L50" s="463">
        <f t="shared" si="0"/>
        <v>564.7600000000002</v>
      </c>
      <c r="M50" s="403">
        <v>950</v>
      </c>
      <c r="N50" s="464">
        <f t="shared" si="1"/>
        <v>0</v>
      </c>
    </row>
    <row r="51" spans="1:14" ht="13.5" thickBot="1">
      <c r="A51" s="145"/>
      <c r="B51" s="98"/>
      <c r="C51" s="98"/>
      <c r="D51" s="99"/>
      <c r="E51" s="100" t="s">
        <v>42</v>
      </c>
      <c r="F51" s="101"/>
      <c r="G51" s="102"/>
      <c r="H51" s="103" t="s">
        <v>43</v>
      </c>
      <c r="I51" s="181">
        <f>SUM(I50)</f>
        <v>13239.06</v>
      </c>
      <c r="J51" s="106">
        <f>SUM(J50)</f>
        <v>12674.3</v>
      </c>
      <c r="K51" s="224"/>
      <c r="L51" s="106">
        <f t="shared" si="0"/>
        <v>564.7600000000002</v>
      </c>
      <c r="M51" s="224"/>
      <c r="N51" s="169">
        <f>SUM(N50)</f>
        <v>0</v>
      </c>
    </row>
    <row r="52" spans="1:14" ht="12.75" hidden="1">
      <c r="A52" s="154"/>
      <c r="B52" s="12"/>
      <c r="C52" s="12"/>
      <c r="D52" s="3"/>
      <c r="E52" s="4"/>
      <c r="F52" s="13"/>
      <c r="G52" s="25"/>
      <c r="H52" s="25"/>
      <c r="I52" s="5"/>
      <c r="J52" s="4"/>
      <c r="K52" s="14"/>
      <c r="L52" s="109">
        <f t="shared" si="0"/>
        <v>0</v>
      </c>
      <c r="M52" s="66"/>
      <c r="N52" s="173">
        <f t="shared" si="1"/>
        <v>0</v>
      </c>
    </row>
    <row r="53" spans="1:14" ht="12.75" hidden="1">
      <c r="A53" s="154"/>
      <c r="B53" s="12"/>
      <c r="C53" s="12"/>
      <c r="D53" s="3"/>
      <c r="E53" s="4"/>
      <c r="F53" s="13"/>
      <c r="G53" s="25"/>
      <c r="H53" s="25"/>
      <c r="I53" s="5"/>
      <c r="J53" s="4"/>
      <c r="K53" s="14"/>
      <c r="L53" s="15">
        <f t="shared" si="0"/>
        <v>0</v>
      </c>
      <c r="M53" s="27"/>
      <c r="N53" s="173">
        <f t="shared" si="1"/>
        <v>0</v>
      </c>
    </row>
    <row r="54" spans="1:14" ht="12.75" hidden="1">
      <c r="A54" s="154"/>
      <c r="B54" s="12"/>
      <c r="C54" s="12"/>
      <c r="D54" s="3"/>
      <c r="E54" s="4"/>
      <c r="F54" s="13"/>
      <c r="G54" s="25"/>
      <c r="H54" s="25"/>
      <c r="I54" s="5"/>
      <c r="J54" s="4"/>
      <c r="K54" s="14"/>
      <c r="L54" s="15">
        <f t="shared" si="0"/>
        <v>0</v>
      </c>
      <c r="M54" s="27"/>
      <c r="N54" s="173">
        <f t="shared" si="1"/>
        <v>0</v>
      </c>
    </row>
    <row r="55" spans="1:14" ht="12.75" hidden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5">
        <f t="shared" si="0"/>
        <v>0</v>
      </c>
      <c r="M55" s="27"/>
      <c r="N55" s="173">
        <f t="shared" si="1"/>
        <v>0</v>
      </c>
    </row>
    <row r="56" spans="1:14" ht="12.75" hidden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2.75" hidden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2.75" hidden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2.75" hidden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2.75" hidden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2.75" hidden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2.75" hidden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2.75" hidden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2.75" hidden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2.75" hidden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2.75" hidden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aca="true" t="shared" si="2" ref="L66:L80">I66-J66</f>
        <v>0</v>
      </c>
      <c r="M66" s="27"/>
      <c r="N66" s="173">
        <f aca="true" t="shared" si="3" ref="N66:N80">E66-J66</f>
        <v>0</v>
      </c>
    </row>
    <row r="67" spans="1:14" ht="12.75" hidden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2"/>
        <v>0</v>
      </c>
      <c r="M67" s="27"/>
      <c r="N67" s="173">
        <f t="shared" si="3"/>
        <v>0</v>
      </c>
    </row>
    <row r="68" spans="1:14" ht="12.75" hidden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2"/>
        <v>0</v>
      </c>
      <c r="M68" s="27"/>
      <c r="N68" s="173">
        <f t="shared" si="3"/>
        <v>0</v>
      </c>
    </row>
    <row r="69" spans="1:14" ht="12.75" hidden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73">
        <f t="shared" si="3"/>
        <v>0</v>
      </c>
    </row>
    <row r="70" spans="1:14" ht="12.75" hidden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2.75" hidden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2.75" hidden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2.75" hidden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2.75" hidden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2.75" hidden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2.75" hidden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2.75" hidden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2.75" hidden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2.75" hidden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5"/>
      <c r="B80" s="111"/>
      <c r="C80" s="111"/>
      <c r="D80" s="112"/>
      <c r="E80" s="126"/>
      <c r="F80" s="114"/>
      <c r="G80" s="115"/>
      <c r="H80" s="115"/>
      <c r="I80" s="116"/>
      <c r="J80" s="126"/>
      <c r="K80" s="127"/>
      <c r="L80" s="90">
        <f t="shared" si="2"/>
        <v>0</v>
      </c>
      <c r="M80" s="27"/>
      <c r="N80" s="170">
        <f t="shared" si="3"/>
        <v>0</v>
      </c>
    </row>
    <row r="81" spans="1:14" ht="14.25" thickBot="1" thickTop="1">
      <c r="A81" s="128"/>
      <c r="B81" s="129"/>
      <c r="C81" s="130" t="s">
        <v>8</v>
      </c>
      <c r="D81" s="131">
        <f>SUM(D3:D80)</f>
        <v>3866820.4299999992</v>
      </c>
      <c r="E81" s="132">
        <f>SUM(E3:E80)</f>
        <v>2100503.31</v>
      </c>
      <c r="F81" s="133"/>
      <c r="G81" s="133"/>
      <c r="H81" s="133"/>
      <c r="I81" s="134">
        <f>+I12+I18+I21+I34+I40+I46+I49+I51</f>
        <v>316419.45999999996</v>
      </c>
      <c r="J81" s="134">
        <f>+J12+J18+J21+J34+J40+J46+J49+J51</f>
        <v>214488.82</v>
      </c>
      <c r="K81" s="133"/>
      <c r="L81" s="134">
        <f>+L12+L18+L21+L34+L40+L46+L49+L51</f>
        <v>101930.63999999997</v>
      </c>
      <c r="M81" s="135"/>
      <c r="N81" s="136">
        <f>+N12+N18+N21+N34+N40+N46+N49+N51</f>
        <v>1886014.4900000002</v>
      </c>
    </row>
    <row r="82" ht="13.5" thickTop="1"/>
    <row r="84" ht="12.75">
      <c r="A84" s="2" t="s">
        <v>42</v>
      </c>
    </row>
    <row r="85" ht="12.75">
      <c r="J85" s="295"/>
    </row>
    <row r="86" ht="12.75">
      <c r="J86" s="296"/>
    </row>
  </sheetData>
  <sheetProtection/>
  <mergeCells count="1">
    <mergeCell ref="A1:N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zoomScale="110" zoomScaleNormal="110" zoomScalePageLayoutView="0" workbookViewId="0" topLeftCell="A1">
      <selection activeCell="N15" sqref="N15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00390625" style="2" customWidth="1"/>
    <col min="4" max="5" width="12.00390625" style="2" customWidth="1"/>
    <col min="6" max="8" width="9.140625" style="2" customWidth="1"/>
    <col min="9" max="9" width="10.7109375" style="2" customWidth="1"/>
    <col min="10" max="10" width="11.851562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129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130</v>
      </c>
      <c r="F2" s="138" t="s">
        <v>3</v>
      </c>
      <c r="G2" s="138" t="s">
        <v>4</v>
      </c>
      <c r="H2" s="138" t="s">
        <v>5</v>
      </c>
      <c r="I2" s="138" t="s">
        <v>131</v>
      </c>
      <c r="J2" s="138" t="s">
        <v>132</v>
      </c>
      <c r="K2" s="138" t="s">
        <v>6</v>
      </c>
      <c r="L2" s="138" t="s">
        <v>133</v>
      </c>
      <c r="M2" s="138" t="s">
        <v>6</v>
      </c>
      <c r="N2" s="138" t="s">
        <v>134</v>
      </c>
    </row>
    <row r="3" spans="1:24" s="308" customFormat="1" ht="12.75">
      <c r="A3" s="543">
        <v>4425594</v>
      </c>
      <c r="B3" s="544" t="s">
        <v>7</v>
      </c>
      <c r="C3" s="544" t="s">
        <v>15</v>
      </c>
      <c r="D3" s="545">
        <v>413165</v>
      </c>
      <c r="E3" s="627">
        <v>234295.23</v>
      </c>
      <c r="F3" s="546">
        <v>4.8</v>
      </c>
      <c r="G3" s="547">
        <v>2004</v>
      </c>
      <c r="H3" s="547">
        <v>2023</v>
      </c>
      <c r="I3" s="548">
        <v>32365.92</v>
      </c>
      <c r="J3" s="549">
        <v>21373.19</v>
      </c>
      <c r="K3" s="540" t="s">
        <v>42</v>
      </c>
      <c r="L3" s="549">
        <f>I3-J3</f>
        <v>10992.73</v>
      </c>
      <c r="M3" s="541" t="s">
        <v>42</v>
      </c>
      <c r="N3" s="550">
        <f>E3-J3</f>
        <v>212922.04</v>
      </c>
      <c r="P3" s="2"/>
      <c r="Q3" s="2"/>
      <c r="R3" s="2"/>
      <c r="S3" s="2"/>
      <c r="T3" s="2"/>
      <c r="U3" s="2"/>
      <c r="V3" s="2"/>
      <c r="W3" s="2"/>
      <c r="X3" s="2"/>
    </row>
    <row r="4" spans="1:24" s="308" customFormat="1" ht="12.75">
      <c r="A4" s="543">
        <v>4403430</v>
      </c>
      <c r="B4" s="544" t="s">
        <v>7</v>
      </c>
      <c r="C4" s="544" t="s">
        <v>15</v>
      </c>
      <c r="D4" s="545">
        <v>154937.07</v>
      </c>
      <c r="E4" s="627">
        <v>73050.87</v>
      </c>
      <c r="F4" s="546">
        <v>5.25</v>
      </c>
      <c r="G4" s="547">
        <v>2002.2021</v>
      </c>
      <c r="H4" s="547">
        <v>2021</v>
      </c>
      <c r="I4" s="548">
        <v>12605.48</v>
      </c>
      <c r="J4" s="549">
        <v>8885.43</v>
      </c>
      <c r="K4" s="540"/>
      <c r="L4" s="549">
        <f aca="true" t="shared" si="0" ref="L4:L65">I4-J4</f>
        <v>3720.0499999999993</v>
      </c>
      <c r="M4" s="541"/>
      <c r="N4" s="550">
        <f aca="true" t="shared" si="1" ref="N4:N65">E4-J4</f>
        <v>64165.439999999995</v>
      </c>
      <c r="P4" s="2"/>
      <c r="Q4" s="2"/>
      <c r="R4" s="2"/>
      <c r="S4" s="2"/>
      <c r="T4" s="2"/>
      <c r="U4" s="2"/>
      <c r="V4" s="2"/>
      <c r="W4" s="2"/>
      <c r="X4" s="2"/>
    </row>
    <row r="5" spans="1:24" s="308" customFormat="1" ht="12" customHeight="1">
      <c r="A5" s="543">
        <v>4370159</v>
      </c>
      <c r="B5" s="544" t="s">
        <v>7</v>
      </c>
      <c r="C5" s="544" t="s">
        <v>15</v>
      </c>
      <c r="D5" s="545">
        <v>103291.38</v>
      </c>
      <c r="E5" s="627">
        <v>43913.42</v>
      </c>
      <c r="F5" s="546">
        <v>5.75</v>
      </c>
      <c r="G5" s="547">
        <v>2001</v>
      </c>
      <c r="H5" s="547">
        <v>2020</v>
      </c>
      <c r="I5" s="548">
        <v>8757.58</v>
      </c>
      <c r="J5" s="549">
        <v>6322.15</v>
      </c>
      <c r="K5" s="540"/>
      <c r="L5" s="549">
        <f t="shared" si="0"/>
        <v>2435.4300000000003</v>
      </c>
      <c r="M5" s="541"/>
      <c r="N5" s="550">
        <f t="shared" si="1"/>
        <v>37591.27</v>
      </c>
      <c r="P5" s="2"/>
      <c r="Q5" s="2"/>
      <c r="R5" s="2"/>
      <c r="S5" s="2"/>
      <c r="T5" s="2"/>
      <c r="U5" s="2"/>
      <c r="V5" s="2"/>
      <c r="W5" s="2"/>
      <c r="X5" s="2"/>
    </row>
    <row r="6" spans="1:24" s="308" customFormat="1" ht="12.75">
      <c r="A6" s="628" t="s">
        <v>16</v>
      </c>
      <c r="B6" s="544" t="s">
        <v>7</v>
      </c>
      <c r="C6" s="544" t="s">
        <v>15</v>
      </c>
      <c r="D6" s="545">
        <v>77468.53</v>
      </c>
      <c r="E6" s="627">
        <v>32935.09</v>
      </c>
      <c r="F6" s="546">
        <v>5.75</v>
      </c>
      <c r="G6" s="547">
        <v>2001</v>
      </c>
      <c r="H6" s="547">
        <v>2020</v>
      </c>
      <c r="I6" s="548">
        <v>6568.18</v>
      </c>
      <c r="J6" s="549">
        <v>4741.61</v>
      </c>
      <c r="K6" s="540"/>
      <c r="L6" s="549">
        <f t="shared" si="0"/>
        <v>1826.5700000000006</v>
      </c>
      <c r="M6" s="541"/>
      <c r="N6" s="550">
        <f t="shared" si="1"/>
        <v>28193.479999999996</v>
      </c>
      <c r="P6" s="2"/>
      <c r="Q6" s="2"/>
      <c r="R6" s="2"/>
      <c r="S6" s="2"/>
      <c r="T6" s="2"/>
      <c r="U6" s="2"/>
      <c r="V6" s="2"/>
      <c r="W6" s="2"/>
      <c r="X6" s="2"/>
    </row>
    <row r="7" spans="1:24" s="308" customFormat="1" ht="12.75">
      <c r="A7" s="611">
        <v>4354048</v>
      </c>
      <c r="B7" s="612" t="s">
        <v>7</v>
      </c>
      <c r="C7" s="612" t="s">
        <v>15</v>
      </c>
      <c r="D7" s="613">
        <v>179245.09</v>
      </c>
      <c r="E7" s="614">
        <v>44769.17</v>
      </c>
      <c r="F7" s="615">
        <v>0</v>
      </c>
      <c r="G7" s="616">
        <v>2000</v>
      </c>
      <c r="H7" s="616">
        <v>2019</v>
      </c>
      <c r="I7" s="617">
        <f>8953.84+800</f>
        <v>9753.84</v>
      </c>
      <c r="J7" s="618">
        <f>4476.92+4476.92</f>
        <v>8953.84</v>
      </c>
      <c r="K7" s="619">
        <v>3030</v>
      </c>
      <c r="L7" s="618">
        <f t="shared" si="0"/>
        <v>800</v>
      </c>
      <c r="M7" s="620">
        <v>283</v>
      </c>
      <c r="N7" s="621">
        <f t="shared" si="1"/>
        <v>35815.33</v>
      </c>
      <c r="P7" s="2"/>
      <c r="Q7" s="2"/>
      <c r="R7" s="2"/>
      <c r="S7" s="2"/>
      <c r="T7" s="2"/>
      <c r="U7" s="2"/>
      <c r="V7" s="2"/>
      <c r="W7" s="2"/>
      <c r="X7" s="2"/>
    </row>
    <row r="8" spans="1:24" s="308" customFormat="1" ht="12.75">
      <c r="A8" s="628" t="s">
        <v>17</v>
      </c>
      <c r="B8" s="544" t="s">
        <v>7</v>
      </c>
      <c r="C8" s="544" t="s">
        <v>18</v>
      </c>
      <c r="D8" s="545">
        <v>6197.48</v>
      </c>
      <c r="E8" s="627">
        <v>1512.27</v>
      </c>
      <c r="F8" s="546">
        <v>6.5</v>
      </c>
      <c r="G8" s="547">
        <v>1998</v>
      </c>
      <c r="H8" s="547">
        <v>2017</v>
      </c>
      <c r="I8" s="548">
        <v>562.98</v>
      </c>
      <c r="J8" s="549">
        <v>472.23</v>
      </c>
      <c r="K8" s="540"/>
      <c r="L8" s="549">
        <f t="shared" si="0"/>
        <v>90.75</v>
      </c>
      <c r="M8" s="541"/>
      <c r="N8" s="550">
        <f t="shared" si="1"/>
        <v>1040.04</v>
      </c>
      <c r="P8" s="2"/>
      <c r="Q8" s="2"/>
      <c r="R8" s="2"/>
      <c r="S8" s="2"/>
      <c r="T8" s="2"/>
      <c r="U8" s="2"/>
      <c r="V8" s="2"/>
      <c r="W8" s="2"/>
      <c r="X8" s="2"/>
    </row>
    <row r="9" spans="1:24" s="308" customFormat="1" ht="12.75">
      <c r="A9" s="543">
        <v>4317939</v>
      </c>
      <c r="B9" s="544" t="s">
        <v>7</v>
      </c>
      <c r="C9" s="544" t="s">
        <v>18</v>
      </c>
      <c r="D9" s="545">
        <v>148739.59</v>
      </c>
      <c r="E9" s="627">
        <v>36295.49</v>
      </c>
      <c r="F9" s="546">
        <v>6.5</v>
      </c>
      <c r="G9" s="547">
        <v>1998</v>
      </c>
      <c r="H9" s="547">
        <v>2017</v>
      </c>
      <c r="I9" s="548">
        <v>13511.4</v>
      </c>
      <c r="J9" s="549">
        <v>11333.41</v>
      </c>
      <c r="K9" s="540"/>
      <c r="L9" s="549">
        <f t="shared" si="0"/>
        <v>2177.99</v>
      </c>
      <c r="M9" s="541"/>
      <c r="N9" s="550">
        <f t="shared" si="1"/>
        <v>24962.079999999998</v>
      </c>
      <c r="P9" s="2"/>
      <c r="Q9" s="2"/>
      <c r="R9" s="2"/>
      <c r="S9" s="2"/>
      <c r="T9" s="2"/>
      <c r="U9" s="2"/>
      <c r="V9" s="2"/>
      <c r="W9" s="2"/>
      <c r="X9" s="2"/>
    </row>
    <row r="10" spans="1:24" s="308" customFormat="1" ht="12.75">
      <c r="A10" s="559" t="s">
        <v>77</v>
      </c>
      <c r="B10" s="552" t="s">
        <v>7</v>
      </c>
      <c r="C10" s="552" t="s">
        <v>72</v>
      </c>
      <c r="D10" s="553">
        <v>80000</v>
      </c>
      <c r="E10" s="560">
        <v>51165.63</v>
      </c>
      <c r="F10" s="554">
        <v>3.72</v>
      </c>
      <c r="G10" s="555">
        <v>2006</v>
      </c>
      <c r="H10" s="555">
        <v>2025</v>
      </c>
      <c r="I10" s="556">
        <v>5716.4</v>
      </c>
      <c r="J10" s="557">
        <v>3838.36</v>
      </c>
      <c r="K10" s="540"/>
      <c r="L10" s="557">
        <f>I10-J10</f>
        <v>1878.0399999999995</v>
      </c>
      <c r="M10" s="541"/>
      <c r="N10" s="550">
        <f>E10-J10</f>
        <v>47327.27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 s="323" customFormat="1" ht="13.5" thickBot="1">
      <c r="A11" s="479" t="s">
        <v>102</v>
      </c>
      <c r="B11" s="544" t="s">
        <v>20</v>
      </c>
      <c r="C11" s="544" t="s">
        <v>92</v>
      </c>
      <c r="D11" s="545">
        <v>60000</v>
      </c>
      <c r="E11" s="622">
        <v>49724.77</v>
      </c>
      <c r="F11" s="546">
        <v>4.17</v>
      </c>
      <c r="G11" s="547">
        <v>2010</v>
      </c>
      <c r="H11" s="547">
        <v>2029</v>
      </c>
      <c r="I11" s="548">
        <v>4644.1</v>
      </c>
      <c r="J11" s="549">
        <v>2354.54</v>
      </c>
      <c r="K11" s="624"/>
      <c r="L11" s="625">
        <f>I11-J11</f>
        <v>2289.5600000000004</v>
      </c>
      <c r="M11" s="626"/>
      <c r="N11" s="550">
        <f>E11-J11</f>
        <v>47370.229999999996</v>
      </c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14" ht="13.5" thickBot="1">
      <c r="A12" s="145"/>
      <c r="B12" s="98"/>
      <c r="C12" s="98"/>
      <c r="D12" s="99"/>
      <c r="E12" s="162" t="s">
        <v>42</v>
      </c>
      <c r="F12" s="101"/>
      <c r="G12" s="102"/>
      <c r="H12" s="103" t="s">
        <v>43</v>
      </c>
      <c r="I12" s="104">
        <f>SUM(I3:I11)</f>
        <v>94485.87999999999</v>
      </c>
      <c r="J12" s="100">
        <f>SUM(J3:J11)</f>
        <v>68274.76</v>
      </c>
      <c r="K12" s="223"/>
      <c r="L12" s="106">
        <f t="shared" si="0"/>
        <v>26211.119999999995</v>
      </c>
      <c r="M12" s="224"/>
      <c r="N12" s="146">
        <f>SUM(N3:N11)</f>
        <v>499387.18</v>
      </c>
    </row>
    <row r="13" spans="1:24" s="308" customFormat="1" ht="12.75">
      <c r="A13" s="532">
        <v>4367661</v>
      </c>
      <c r="B13" s="533" t="s">
        <v>20</v>
      </c>
      <c r="C13" s="533" t="s">
        <v>21</v>
      </c>
      <c r="D13" s="534">
        <v>51645.69</v>
      </c>
      <c r="E13" s="622">
        <v>21956.69</v>
      </c>
      <c r="F13" s="536">
        <v>5.75</v>
      </c>
      <c r="G13" s="537">
        <v>2001</v>
      </c>
      <c r="H13" s="537">
        <v>2020</v>
      </c>
      <c r="I13" s="538">
        <v>4378.78</v>
      </c>
      <c r="J13" s="412">
        <v>3161.07</v>
      </c>
      <c r="K13" s="624"/>
      <c r="L13" s="413">
        <f t="shared" si="0"/>
        <v>1217.7099999999996</v>
      </c>
      <c r="M13" s="626"/>
      <c r="N13" s="414">
        <f t="shared" si="1"/>
        <v>18795.62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 s="308" customFormat="1" ht="12.75">
      <c r="A14" s="543">
        <v>4363580</v>
      </c>
      <c r="B14" s="544" t="s">
        <v>20</v>
      </c>
      <c r="C14" s="544" t="s">
        <v>22</v>
      </c>
      <c r="D14" s="545">
        <v>77468.53</v>
      </c>
      <c r="E14" s="622">
        <v>32935.09</v>
      </c>
      <c r="F14" s="546">
        <v>5.75</v>
      </c>
      <c r="G14" s="547">
        <v>2001</v>
      </c>
      <c r="H14" s="547">
        <v>2020</v>
      </c>
      <c r="I14" s="548">
        <v>6568.18</v>
      </c>
      <c r="J14" s="635">
        <v>4741.61</v>
      </c>
      <c r="K14" s="624"/>
      <c r="L14" s="636">
        <f t="shared" si="0"/>
        <v>1826.5700000000006</v>
      </c>
      <c r="M14" s="626"/>
      <c r="N14" s="550">
        <f t="shared" si="1"/>
        <v>28193.479999999996</v>
      </c>
      <c r="P14" s="2"/>
      <c r="Q14" s="2"/>
      <c r="R14" s="2"/>
      <c r="S14" s="2"/>
      <c r="T14" s="2"/>
      <c r="U14" s="2"/>
      <c r="V14" s="2"/>
      <c r="W14" s="2"/>
      <c r="X14" s="2"/>
    </row>
    <row r="15" spans="1:24" s="308" customFormat="1" ht="12.75">
      <c r="A15" s="628" t="s">
        <v>23</v>
      </c>
      <c r="B15" s="544" t="s">
        <v>20</v>
      </c>
      <c r="C15" s="544" t="s">
        <v>24</v>
      </c>
      <c r="D15" s="545">
        <v>55628.72</v>
      </c>
      <c r="E15" s="622">
        <v>15548.47</v>
      </c>
      <c r="F15" s="546">
        <v>4.85</v>
      </c>
      <c r="G15" s="547">
        <v>1999</v>
      </c>
      <c r="H15" s="547">
        <v>2018</v>
      </c>
      <c r="I15" s="548">
        <v>4323.16</v>
      </c>
      <c r="J15" s="635">
        <v>3612.33</v>
      </c>
      <c r="K15" s="624">
        <v>3030</v>
      </c>
      <c r="L15" s="636">
        <f t="shared" si="0"/>
        <v>710.8299999999999</v>
      </c>
      <c r="M15" s="626">
        <v>518</v>
      </c>
      <c r="N15" s="550">
        <f t="shared" si="1"/>
        <v>11936.14</v>
      </c>
      <c r="P15" s="2"/>
      <c r="Q15" s="2"/>
      <c r="R15" s="2"/>
      <c r="S15" s="2"/>
      <c r="T15" s="2"/>
      <c r="U15" s="2"/>
      <c r="V15" s="2"/>
      <c r="W15" s="2"/>
      <c r="X15" s="2"/>
    </row>
    <row r="16" spans="1:24" s="308" customFormat="1" ht="12.75">
      <c r="A16" s="551">
        <v>4271244</v>
      </c>
      <c r="B16" s="552" t="s">
        <v>20</v>
      </c>
      <c r="C16" s="552" t="s">
        <v>25</v>
      </c>
      <c r="D16" s="553">
        <v>69205.22</v>
      </c>
      <c r="E16" s="622">
        <v>6118.03</v>
      </c>
      <c r="F16" s="554">
        <v>6.5</v>
      </c>
      <c r="G16" s="555">
        <v>1996</v>
      </c>
      <c r="H16" s="637">
        <v>2015</v>
      </c>
      <c r="I16" s="556">
        <v>6417.96</v>
      </c>
      <c r="J16" s="623">
        <v>6118.03</v>
      </c>
      <c r="K16" s="624"/>
      <c r="L16" s="625">
        <f>I16-J16</f>
        <v>299.9300000000003</v>
      </c>
      <c r="M16" s="626"/>
      <c r="N16" s="550">
        <f>E16-J16</f>
        <v>0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s="323" customFormat="1" ht="13.5" thickBot="1">
      <c r="A17" s="551">
        <v>4555239</v>
      </c>
      <c r="B17" s="552" t="s">
        <v>20</v>
      </c>
      <c r="C17" s="552" t="s">
        <v>110</v>
      </c>
      <c r="D17" s="553">
        <v>127500</v>
      </c>
      <c r="E17" s="622">
        <v>117118.75</v>
      </c>
      <c r="F17" s="554">
        <v>6.51</v>
      </c>
      <c r="G17" s="555">
        <v>2012</v>
      </c>
      <c r="H17" s="555">
        <v>2031</v>
      </c>
      <c r="I17" s="556">
        <v>11495.76</v>
      </c>
      <c r="J17" s="623">
        <v>3928.44</v>
      </c>
      <c r="K17" s="624"/>
      <c r="L17" s="625">
        <f>I17-J17</f>
        <v>7567.32</v>
      </c>
      <c r="M17" s="626"/>
      <c r="N17" s="550">
        <f>E17-J17</f>
        <v>113190.31</v>
      </c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:14" ht="13.5" thickBot="1">
      <c r="A18" s="145"/>
      <c r="B18" s="98"/>
      <c r="C18" s="98"/>
      <c r="D18" s="99"/>
      <c r="E18" s="110" t="s">
        <v>42</v>
      </c>
      <c r="F18" s="101"/>
      <c r="G18" s="102"/>
      <c r="H18" s="103" t="s">
        <v>43</v>
      </c>
      <c r="I18" s="104">
        <f>SUM(I13:I17)</f>
        <v>33183.84</v>
      </c>
      <c r="J18" s="100">
        <f>SUM(J13:J17)</f>
        <v>21561.48</v>
      </c>
      <c r="K18" s="223"/>
      <c r="L18" s="106">
        <f t="shared" si="0"/>
        <v>11622.359999999997</v>
      </c>
      <c r="M18" s="224"/>
      <c r="N18" s="169">
        <f>SUM(N13:N17)</f>
        <v>172115.55</v>
      </c>
    </row>
    <row r="19" spans="1:24" s="308" customFormat="1" ht="12.75">
      <c r="A19" s="639">
        <v>22851</v>
      </c>
      <c r="B19" s="640" t="s">
        <v>26</v>
      </c>
      <c r="C19" s="640" t="s">
        <v>27</v>
      </c>
      <c r="D19" s="641">
        <v>77468.53</v>
      </c>
      <c r="E19" s="642">
        <v>13923.97</v>
      </c>
      <c r="F19" s="643">
        <v>5</v>
      </c>
      <c r="G19" s="644">
        <v>2002</v>
      </c>
      <c r="H19" s="644">
        <v>2016</v>
      </c>
      <c r="I19" s="645">
        <v>7402.53</v>
      </c>
      <c r="J19" s="646">
        <v>6790.15</v>
      </c>
      <c r="K19" s="647">
        <v>3040</v>
      </c>
      <c r="L19" s="648">
        <f>I19-J19</f>
        <v>612.3800000000001</v>
      </c>
      <c r="M19" s="649">
        <v>645</v>
      </c>
      <c r="N19" s="650">
        <f>E19-J19</f>
        <v>7133.82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s="323" customFormat="1" ht="13.5" thickBot="1">
      <c r="A20" s="593">
        <v>4550239</v>
      </c>
      <c r="B20" s="594" t="s">
        <v>20</v>
      </c>
      <c r="C20" s="594" t="s">
        <v>93</v>
      </c>
      <c r="D20" s="595">
        <v>114950</v>
      </c>
      <c r="E20" s="596">
        <v>103990.65</v>
      </c>
      <c r="F20" s="597">
        <v>4.93</v>
      </c>
      <c r="G20" s="598">
        <v>2012</v>
      </c>
      <c r="H20" s="598">
        <v>2031</v>
      </c>
      <c r="I20" s="599">
        <v>9111.38</v>
      </c>
      <c r="J20" s="600">
        <v>4024.36</v>
      </c>
      <c r="K20" s="540">
        <v>3030</v>
      </c>
      <c r="L20" s="601">
        <f>I20-J20</f>
        <v>5087.019999999999</v>
      </c>
      <c r="M20" s="626">
        <v>645</v>
      </c>
      <c r="N20" s="602">
        <f>E20-J20</f>
        <v>99966.29</v>
      </c>
      <c r="P20" s="237"/>
      <c r="Q20" s="237"/>
      <c r="R20" s="237"/>
      <c r="S20" s="237"/>
      <c r="T20" s="237"/>
      <c r="U20" s="237"/>
      <c r="V20" s="237"/>
      <c r="W20" s="237"/>
      <c r="X20" s="237"/>
    </row>
    <row r="21" spans="1:14" ht="13.5" thickBot="1">
      <c r="A21" s="145"/>
      <c r="B21" s="98"/>
      <c r="C21" s="98"/>
      <c r="D21" s="99"/>
      <c r="E21" s="100" t="s">
        <v>42</v>
      </c>
      <c r="F21" s="101"/>
      <c r="G21" s="103"/>
      <c r="H21" s="103" t="s">
        <v>43</v>
      </c>
      <c r="I21" s="104">
        <f>SUM(I19:I20)</f>
        <v>16513.91</v>
      </c>
      <c r="J21" s="100">
        <f>SUM(J19:J20)</f>
        <v>10814.51</v>
      </c>
      <c r="K21" s="224"/>
      <c r="L21" s="106">
        <f t="shared" si="0"/>
        <v>5699.4</v>
      </c>
      <c r="M21" s="224"/>
      <c r="N21" s="169">
        <f>SUM(N19:N20)</f>
        <v>107100.10999999999</v>
      </c>
    </row>
    <row r="22" spans="1:24" s="308" customFormat="1" ht="12.75">
      <c r="A22" s="415" t="s">
        <v>28</v>
      </c>
      <c r="B22" s="533" t="s">
        <v>20</v>
      </c>
      <c r="C22" s="533" t="s">
        <v>29</v>
      </c>
      <c r="D22" s="534">
        <v>17559.53</v>
      </c>
      <c r="E22" s="596">
        <v>7465.27</v>
      </c>
      <c r="F22" s="536">
        <v>5.75</v>
      </c>
      <c r="G22" s="537">
        <v>2001</v>
      </c>
      <c r="H22" s="537">
        <v>2020</v>
      </c>
      <c r="I22" s="538">
        <v>1488.78</v>
      </c>
      <c r="J22" s="539">
        <v>1074.77</v>
      </c>
      <c r="K22" s="540"/>
      <c r="L22" s="539">
        <f t="shared" si="0"/>
        <v>414.01</v>
      </c>
      <c r="M22" s="541"/>
      <c r="N22" s="416">
        <f t="shared" si="1"/>
        <v>6390.5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s="308" customFormat="1" ht="12.75">
      <c r="A23" s="543">
        <v>4364549</v>
      </c>
      <c r="B23" s="544" t="s">
        <v>20</v>
      </c>
      <c r="C23" s="544" t="s">
        <v>29</v>
      </c>
      <c r="D23" s="545">
        <v>137377.54</v>
      </c>
      <c r="E23" s="622">
        <v>58404.91</v>
      </c>
      <c r="F23" s="546">
        <v>5.75</v>
      </c>
      <c r="G23" s="547">
        <v>2001</v>
      </c>
      <c r="H23" s="547">
        <v>2020</v>
      </c>
      <c r="I23" s="548">
        <v>11647.56</v>
      </c>
      <c r="J23" s="549">
        <v>8408.44</v>
      </c>
      <c r="K23" s="540"/>
      <c r="L23" s="549">
        <f t="shared" si="0"/>
        <v>3239.119999999999</v>
      </c>
      <c r="M23" s="541"/>
      <c r="N23" s="550">
        <f t="shared" si="1"/>
        <v>49996.47</v>
      </c>
      <c r="P23" s="2"/>
      <c r="Q23" s="2"/>
      <c r="R23" s="2"/>
      <c r="S23" s="2"/>
      <c r="T23" s="2"/>
      <c r="U23" s="2"/>
      <c r="V23" s="2"/>
      <c r="W23" s="2"/>
      <c r="X23" s="2"/>
    </row>
    <row r="24" spans="1:15" ht="12.75">
      <c r="A24" s="543">
        <v>4297871</v>
      </c>
      <c r="B24" s="544" t="s">
        <v>20</v>
      </c>
      <c r="C24" s="544" t="s">
        <v>29</v>
      </c>
      <c r="D24" s="545">
        <v>129114.22</v>
      </c>
      <c r="E24" s="622">
        <v>21866.12</v>
      </c>
      <c r="F24" s="546">
        <v>6.5</v>
      </c>
      <c r="G24" s="547">
        <v>1997</v>
      </c>
      <c r="H24" s="547">
        <v>2016</v>
      </c>
      <c r="I24" s="548">
        <v>11835.58</v>
      </c>
      <c r="J24" s="549">
        <v>10583.51</v>
      </c>
      <c r="K24" s="540"/>
      <c r="L24" s="549">
        <f t="shared" si="0"/>
        <v>1252.0699999999997</v>
      </c>
      <c r="M24" s="541"/>
      <c r="N24" s="550">
        <f t="shared" si="1"/>
        <v>11282.609999999999</v>
      </c>
      <c r="O24" s="308"/>
    </row>
    <row r="25" spans="1:15" ht="12.75">
      <c r="A25" s="543">
        <v>4268507</v>
      </c>
      <c r="B25" s="544" t="s">
        <v>20</v>
      </c>
      <c r="C25" s="544" t="s">
        <v>29</v>
      </c>
      <c r="D25" s="545">
        <v>77468.53</v>
      </c>
      <c r="E25" s="622">
        <v>6848.63</v>
      </c>
      <c r="F25" s="546">
        <v>6.5</v>
      </c>
      <c r="G25" s="547">
        <v>1996</v>
      </c>
      <c r="H25" s="547">
        <v>2015</v>
      </c>
      <c r="I25" s="548">
        <v>7184.3</v>
      </c>
      <c r="J25" s="549">
        <v>6848.63</v>
      </c>
      <c r="K25" s="540"/>
      <c r="L25" s="549">
        <f t="shared" si="0"/>
        <v>335.6700000000001</v>
      </c>
      <c r="M25" s="541"/>
      <c r="N25" s="550">
        <f t="shared" si="1"/>
        <v>0</v>
      </c>
      <c r="O25" s="308"/>
    </row>
    <row r="26" spans="1:15" ht="12.75">
      <c r="A26" s="628" t="s">
        <v>30</v>
      </c>
      <c r="B26" s="544" t="s">
        <v>20</v>
      </c>
      <c r="C26" s="544" t="s">
        <v>29</v>
      </c>
      <c r="D26" s="545">
        <v>74741.64</v>
      </c>
      <c r="E26" s="622">
        <v>5697.41</v>
      </c>
      <c r="F26" s="546">
        <v>6.5</v>
      </c>
      <c r="G26" s="547">
        <v>1981</v>
      </c>
      <c r="H26" s="638">
        <v>2015</v>
      </c>
      <c r="I26" s="548">
        <v>5976.68</v>
      </c>
      <c r="J26" s="549">
        <v>5697.41</v>
      </c>
      <c r="K26" s="540">
        <v>3030</v>
      </c>
      <c r="L26" s="549">
        <f t="shared" si="0"/>
        <v>279.27000000000044</v>
      </c>
      <c r="M26" s="541">
        <v>760</v>
      </c>
      <c r="N26" s="550">
        <f t="shared" si="1"/>
        <v>0</v>
      </c>
      <c r="O26" s="308"/>
    </row>
    <row r="27" spans="1:15" ht="13.5" customHeight="1">
      <c r="A27" s="448">
        <v>4464738</v>
      </c>
      <c r="B27" s="544" t="s">
        <v>20</v>
      </c>
      <c r="C27" s="544" t="s">
        <v>29</v>
      </c>
      <c r="D27" s="553">
        <v>160000</v>
      </c>
      <c r="E27" s="622">
        <v>101078.94</v>
      </c>
      <c r="F27" s="554">
        <v>3.4</v>
      </c>
      <c r="G27" s="555">
        <v>2006</v>
      </c>
      <c r="H27" s="555">
        <v>2025</v>
      </c>
      <c r="I27" s="556">
        <v>11091.2</v>
      </c>
      <c r="J27" s="557">
        <v>7719.58</v>
      </c>
      <c r="K27" s="540"/>
      <c r="L27" s="557">
        <f t="shared" si="0"/>
        <v>3371.620000000001</v>
      </c>
      <c r="M27" s="541"/>
      <c r="N27" s="550">
        <f t="shared" si="1"/>
        <v>93359.36</v>
      </c>
      <c r="O27" s="308"/>
    </row>
    <row r="28" spans="1:15" ht="12.75">
      <c r="A28" s="448">
        <v>4478664</v>
      </c>
      <c r="B28" s="544" t="s">
        <v>20</v>
      </c>
      <c r="C28" s="544" t="s">
        <v>29</v>
      </c>
      <c r="D28" s="553">
        <v>53000</v>
      </c>
      <c r="E28" s="622">
        <v>33482.4</v>
      </c>
      <c r="F28" s="554">
        <v>3.4</v>
      </c>
      <c r="G28" s="555">
        <v>2006</v>
      </c>
      <c r="H28" s="555">
        <v>2026</v>
      </c>
      <c r="I28" s="556">
        <v>3673.96</v>
      </c>
      <c r="J28" s="557">
        <v>2557.11</v>
      </c>
      <c r="K28" s="540"/>
      <c r="L28" s="557">
        <f t="shared" si="0"/>
        <v>1116.85</v>
      </c>
      <c r="M28" s="541"/>
      <c r="N28" s="550">
        <f t="shared" si="1"/>
        <v>30925.29</v>
      </c>
      <c r="O28" s="308"/>
    </row>
    <row r="29" spans="1:15" ht="12.75">
      <c r="A29" s="559" t="s">
        <v>76</v>
      </c>
      <c r="B29" s="544" t="s">
        <v>20</v>
      </c>
      <c r="C29" s="544" t="s">
        <v>73</v>
      </c>
      <c r="D29" s="553">
        <v>100000</v>
      </c>
      <c r="E29" s="627">
        <v>63911.21</v>
      </c>
      <c r="F29" s="554">
        <v>3.72</v>
      </c>
      <c r="G29" s="555">
        <v>2006</v>
      </c>
      <c r="H29" s="555">
        <v>2025</v>
      </c>
      <c r="I29" s="556">
        <v>7132.84</v>
      </c>
      <c r="J29" s="557">
        <v>4799.56</v>
      </c>
      <c r="K29" s="540"/>
      <c r="L29" s="557">
        <f t="shared" si="0"/>
        <v>2333.2799999999997</v>
      </c>
      <c r="M29" s="541"/>
      <c r="N29" s="550">
        <f t="shared" si="1"/>
        <v>59111.65</v>
      </c>
      <c r="O29" s="308"/>
    </row>
    <row r="30" spans="1:15" s="249" customFormat="1" ht="12.75">
      <c r="A30" s="559" t="s">
        <v>104</v>
      </c>
      <c r="B30" s="544" t="s">
        <v>20</v>
      </c>
      <c r="C30" s="544" t="s">
        <v>78</v>
      </c>
      <c r="D30" s="553">
        <v>120000</v>
      </c>
      <c r="E30" s="627">
        <v>98850.92</v>
      </c>
      <c r="F30" s="554">
        <v>4.32</v>
      </c>
      <c r="G30" s="555">
        <v>2010</v>
      </c>
      <c r="H30" s="555">
        <v>2029</v>
      </c>
      <c r="I30" s="556">
        <v>9027.68</v>
      </c>
      <c r="J30" s="557">
        <v>4800.79</v>
      </c>
      <c r="K30" s="540"/>
      <c r="L30" s="557">
        <f t="shared" si="0"/>
        <v>4226.89</v>
      </c>
      <c r="M30" s="541"/>
      <c r="N30" s="550">
        <f t="shared" si="1"/>
        <v>94050.13</v>
      </c>
      <c r="O30" s="308"/>
    </row>
    <row r="31" spans="1:15" s="249" customFormat="1" ht="21">
      <c r="A31" s="559" t="s">
        <v>103</v>
      </c>
      <c r="B31" s="552" t="s">
        <v>20</v>
      </c>
      <c r="C31" s="603" t="s">
        <v>107</v>
      </c>
      <c r="D31" s="553">
        <v>90000</v>
      </c>
      <c r="E31" s="622">
        <v>74110.77</v>
      </c>
      <c r="F31" s="554">
        <v>4.3</v>
      </c>
      <c r="G31" s="555">
        <v>2010</v>
      </c>
      <c r="H31" s="555">
        <v>2029</v>
      </c>
      <c r="I31" s="556">
        <v>6759.04</v>
      </c>
      <c r="J31" s="623">
        <v>3604.76</v>
      </c>
      <c r="K31" s="624"/>
      <c r="L31" s="625">
        <f t="shared" si="0"/>
        <v>3154.2799999999997</v>
      </c>
      <c r="M31" s="626"/>
      <c r="N31" s="550">
        <f t="shared" si="1"/>
        <v>70506.01000000001</v>
      </c>
      <c r="O31" s="2"/>
    </row>
    <row r="32" spans="1:24" s="352" customFormat="1" ht="21">
      <c r="A32" s="559" t="s">
        <v>117</v>
      </c>
      <c r="B32" s="552" t="s">
        <v>20</v>
      </c>
      <c r="C32" s="603" t="s">
        <v>108</v>
      </c>
      <c r="D32" s="553">
        <v>152925</v>
      </c>
      <c r="E32" s="622">
        <v>131794.14</v>
      </c>
      <c r="F32" s="554">
        <v>4.43</v>
      </c>
      <c r="G32" s="555">
        <v>2011</v>
      </c>
      <c r="H32" s="555">
        <v>2029</v>
      </c>
      <c r="I32" s="556">
        <v>11483.74</v>
      </c>
      <c r="J32" s="623">
        <v>5869.91</v>
      </c>
      <c r="K32" s="624"/>
      <c r="L32" s="625">
        <f t="shared" si="0"/>
        <v>5613.83</v>
      </c>
      <c r="M32" s="626"/>
      <c r="N32" s="604">
        <f t="shared" si="1"/>
        <v>125924.23000000001</v>
      </c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s="352" customFormat="1" ht="13.5" thickBot="1">
      <c r="A33" s="629">
        <v>4555218</v>
      </c>
      <c r="B33" s="630" t="s">
        <v>20</v>
      </c>
      <c r="C33" s="630" t="s">
        <v>109</v>
      </c>
      <c r="D33" s="631">
        <v>67572.27</v>
      </c>
      <c r="E33" s="632">
        <v>62070.43</v>
      </c>
      <c r="F33" s="633">
        <v>6.51</v>
      </c>
      <c r="G33" s="634">
        <v>2012</v>
      </c>
      <c r="H33" s="634">
        <v>2031</v>
      </c>
      <c r="I33" s="608">
        <v>6092.5</v>
      </c>
      <c r="J33" s="609">
        <v>2081.99</v>
      </c>
      <c r="K33" s="610"/>
      <c r="L33" s="609">
        <f>I33-J33</f>
        <v>4010.51</v>
      </c>
      <c r="M33" s="592"/>
      <c r="N33" s="632">
        <f>E33-J33</f>
        <v>59988.44</v>
      </c>
      <c r="P33" s="249"/>
      <c r="Q33" s="249"/>
      <c r="R33" s="249"/>
      <c r="S33" s="249"/>
      <c r="T33" s="249"/>
      <c r="U33" s="249"/>
      <c r="V33" s="249"/>
      <c r="W33" s="249"/>
      <c r="X33" s="249"/>
    </row>
    <row r="34" spans="1:14" ht="13.5" thickBot="1">
      <c r="A34" s="145"/>
      <c r="B34" s="98"/>
      <c r="C34" s="98"/>
      <c r="D34" s="99"/>
      <c r="E34" s="232" t="s">
        <v>42</v>
      </c>
      <c r="F34" s="101"/>
      <c r="G34" s="102"/>
      <c r="H34" s="103" t="s">
        <v>43</v>
      </c>
      <c r="I34" s="104">
        <f>SUM(I22:I33)</f>
        <v>93393.85999999999</v>
      </c>
      <c r="J34" s="100">
        <f>SUM(J22:J33)</f>
        <v>64046.46</v>
      </c>
      <c r="K34" s="224"/>
      <c r="L34" s="106">
        <f t="shared" si="0"/>
        <v>29347.399999999987</v>
      </c>
      <c r="M34" s="224"/>
      <c r="N34" s="169">
        <f>SUM(N22:N33)</f>
        <v>601534.69</v>
      </c>
    </row>
    <row r="35" spans="1:24" s="308" customFormat="1" ht="12.75">
      <c r="A35" s="415" t="s">
        <v>32</v>
      </c>
      <c r="B35" s="533" t="s">
        <v>20</v>
      </c>
      <c r="C35" s="533" t="s">
        <v>33</v>
      </c>
      <c r="D35" s="534">
        <v>13180.75</v>
      </c>
      <c r="E35" s="535">
        <v>3216.4</v>
      </c>
      <c r="F35" s="536">
        <v>6.5</v>
      </c>
      <c r="G35" s="537">
        <v>1998</v>
      </c>
      <c r="H35" s="537">
        <v>2017</v>
      </c>
      <c r="I35" s="538">
        <v>1197.32</v>
      </c>
      <c r="J35" s="539">
        <v>1004.32</v>
      </c>
      <c r="K35" s="540"/>
      <c r="L35" s="539">
        <f t="shared" si="0"/>
        <v>192.9999999999999</v>
      </c>
      <c r="M35" s="541"/>
      <c r="N35" s="542">
        <f t="shared" si="1"/>
        <v>2212.08</v>
      </c>
      <c r="P35" s="2"/>
      <c r="Q35" s="2"/>
      <c r="R35" s="2"/>
      <c r="S35" s="2"/>
      <c r="T35" s="2"/>
      <c r="U35" s="2"/>
      <c r="V35" s="2"/>
      <c r="W35" s="2"/>
      <c r="X35" s="2"/>
    </row>
    <row r="36" spans="1:24" s="308" customFormat="1" ht="12.75">
      <c r="A36" s="543">
        <v>4317937</v>
      </c>
      <c r="B36" s="544" t="s">
        <v>20</v>
      </c>
      <c r="C36" s="544" t="s">
        <v>33</v>
      </c>
      <c r="D36" s="545">
        <v>90110.63</v>
      </c>
      <c r="E36" s="535">
        <v>21988.86</v>
      </c>
      <c r="F36" s="546">
        <v>6.5</v>
      </c>
      <c r="G36" s="547">
        <v>1998</v>
      </c>
      <c r="H36" s="547">
        <v>2017</v>
      </c>
      <c r="I36" s="548">
        <v>8185.58</v>
      </c>
      <c r="J36" s="549">
        <v>6866.09</v>
      </c>
      <c r="K36" s="540"/>
      <c r="L36" s="549">
        <f t="shared" si="0"/>
        <v>1319.4899999999998</v>
      </c>
      <c r="M36" s="541"/>
      <c r="N36" s="550">
        <f t="shared" si="1"/>
        <v>15122.77</v>
      </c>
      <c r="P36" s="2"/>
      <c r="Q36" s="2"/>
      <c r="R36" s="2"/>
      <c r="S36" s="2"/>
      <c r="T36" s="2"/>
      <c r="U36" s="2"/>
      <c r="V36" s="2"/>
      <c r="W36" s="2"/>
      <c r="X36" s="2"/>
    </row>
    <row r="37" spans="1:24" s="308" customFormat="1" ht="12.75">
      <c r="A37" s="628" t="s">
        <v>34</v>
      </c>
      <c r="B37" s="544" t="s">
        <v>20</v>
      </c>
      <c r="C37" s="544" t="s">
        <v>33</v>
      </c>
      <c r="D37" s="545">
        <v>51645.69</v>
      </c>
      <c r="E37" s="535">
        <v>12602.54</v>
      </c>
      <c r="F37" s="546">
        <v>6.5</v>
      </c>
      <c r="G37" s="547">
        <v>1998</v>
      </c>
      <c r="H37" s="547">
        <v>2017</v>
      </c>
      <c r="I37" s="548">
        <v>4691.46</v>
      </c>
      <c r="J37" s="549">
        <v>3935.22</v>
      </c>
      <c r="K37" s="540"/>
      <c r="L37" s="549">
        <f t="shared" si="0"/>
        <v>756.2400000000002</v>
      </c>
      <c r="M37" s="541"/>
      <c r="N37" s="550">
        <f t="shared" si="1"/>
        <v>8667.320000000002</v>
      </c>
      <c r="P37" s="2"/>
      <c r="Q37" s="2"/>
      <c r="R37" s="2"/>
      <c r="S37" s="2"/>
      <c r="T37" s="2"/>
      <c r="U37" s="2"/>
      <c r="V37" s="2"/>
      <c r="W37" s="2"/>
      <c r="X37" s="2"/>
    </row>
    <row r="38" spans="1:24" s="308" customFormat="1" ht="12.75">
      <c r="A38" s="543">
        <v>4297902</v>
      </c>
      <c r="B38" s="544" t="s">
        <v>20</v>
      </c>
      <c r="C38" s="544" t="s">
        <v>33</v>
      </c>
      <c r="D38" s="545">
        <v>51645.69</v>
      </c>
      <c r="E38" s="535">
        <v>8746.53</v>
      </c>
      <c r="F38" s="546">
        <v>6.5</v>
      </c>
      <c r="G38" s="547">
        <v>1997</v>
      </c>
      <c r="H38" s="547">
        <v>2016</v>
      </c>
      <c r="I38" s="548">
        <v>4734.24</v>
      </c>
      <c r="J38" s="549">
        <v>4233.4</v>
      </c>
      <c r="K38" s="540">
        <v>3030</v>
      </c>
      <c r="L38" s="549">
        <f t="shared" si="0"/>
        <v>500.84000000000015</v>
      </c>
      <c r="M38" s="541">
        <v>820</v>
      </c>
      <c r="N38" s="550">
        <f t="shared" si="1"/>
        <v>4513.130000000001</v>
      </c>
      <c r="P38" s="2"/>
      <c r="Q38" s="2"/>
      <c r="R38" s="2"/>
      <c r="S38" s="2"/>
      <c r="T38" s="2"/>
      <c r="U38" s="2"/>
      <c r="V38" s="2"/>
      <c r="W38" s="2"/>
      <c r="X38" s="2"/>
    </row>
    <row r="39" spans="1:24" s="308" customFormat="1" ht="13.5" thickBot="1">
      <c r="A39" s="543">
        <v>3078427</v>
      </c>
      <c r="B39" s="544" t="s">
        <v>20</v>
      </c>
      <c r="C39" s="544" t="s">
        <v>33</v>
      </c>
      <c r="D39" s="545">
        <v>144.61</v>
      </c>
      <c r="E39" s="535">
        <v>11</v>
      </c>
      <c r="F39" s="546">
        <v>6.5</v>
      </c>
      <c r="G39" s="547">
        <v>1981</v>
      </c>
      <c r="H39" s="638">
        <v>2015</v>
      </c>
      <c r="I39" s="548">
        <v>11.56</v>
      </c>
      <c r="J39" s="549">
        <v>11</v>
      </c>
      <c r="K39" s="540"/>
      <c r="L39" s="549">
        <f t="shared" si="0"/>
        <v>0.5600000000000005</v>
      </c>
      <c r="M39" s="541"/>
      <c r="N39" s="550">
        <f t="shared" si="1"/>
        <v>0</v>
      </c>
      <c r="P39" s="2"/>
      <c r="Q39" s="2"/>
      <c r="R39" s="2"/>
      <c r="S39" s="2"/>
      <c r="T39" s="2"/>
      <c r="U39" s="2"/>
      <c r="V39" s="2"/>
      <c r="W39" s="2"/>
      <c r="X39" s="2"/>
    </row>
    <row r="40" spans="1:14" ht="13.5" thickBot="1">
      <c r="A40" s="145"/>
      <c r="B40" s="98"/>
      <c r="C40" s="98"/>
      <c r="D40" s="99"/>
      <c r="E40" s="100" t="s">
        <v>42</v>
      </c>
      <c r="F40" s="101"/>
      <c r="G40" s="102"/>
      <c r="H40" s="103" t="s">
        <v>43</v>
      </c>
      <c r="I40" s="104">
        <f>SUM(I35:I39)</f>
        <v>18820.16</v>
      </c>
      <c r="J40" s="100">
        <f>SUM(J35:J39)</f>
        <v>16050.029999999999</v>
      </c>
      <c r="K40" s="224"/>
      <c r="L40" s="106">
        <f t="shared" si="0"/>
        <v>2770.130000000001</v>
      </c>
      <c r="M40" s="224"/>
      <c r="N40" s="169">
        <f>SUM(N35:N39)</f>
        <v>30515.3</v>
      </c>
    </row>
    <row r="41" spans="1:24" s="308" customFormat="1" ht="12.75">
      <c r="A41" s="532">
        <v>4444717</v>
      </c>
      <c r="B41" s="533" t="s">
        <v>20</v>
      </c>
      <c r="C41" s="533" t="s">
        <v>38</v>
      </c>
      <c r="D41" s="534">
        <v>98000</v>
      </c>
      <c r="E41" s="535">
        <v>55457.57</v>
      </c>
      <c r="F41" s="536">
        <v>4.75</v>
      </c>
      <c r="G41" s="537">
        <v>2004</v>
      </c>
      <c r="H41" s="537">
        <v>2023</v>
      </c>
      <c r="I41" s="538">
        <v>7644.44</v>
      </c>
      <c r="J41" s="539">
        <v>5069.69</v>
      </c>
      <c r="K41" s="540"/>
      <c r="L41" s="539">
        <f t="shared" si="0"/>
        <v>2574.75</v>
      </c>
      <c r="M41" s="541"/>
      <c r="N41" s="542">
        <f t="shared" si="1"/>
        <v>50387.88</v>
      </c>
      <c r="P41" s="2"/>
      <c r="Q41" s="2"/>
      <c r="R41" s="2"/>
      <c r="S41" s="2"/>
      <c r="T41" s="2"/>
      <c r="U41" s="2"/>
      <c r="V41" s="2"/>
      <c r="W41" s="2"/>
      <c r="X41" s="2"/>
    </row>
    <row r="42" spans="1:24" s="308" customFormat="1" ht="12.75">
      <c r="A42" s="543">
        <v>4388738</v>
      </c>
      <c r="B42" s="544" t="s">
        <v>20</v>
      </c>
      <c r="C42" s="544" t="s">
        <v>38</v>
      </c>
      <c r="D42" s="545">
        <v>103291.38</v>
      </c>
      <c r="E42" s="535">
        <v>49294.67</v>
      </c>
      <c r="F42" s="546">
        <v>5.5</v>
      </c>
      <c r="G42" s="547">
        <v>2002</v>
      </c>
      <c r="H42" s="547">
        <v>2021</v>
      </c>
      <c r="I42" s="548">
        <v>8579.7</v>
      </c>
      <c r="J42" s="549">
        <v>5949.18</v>
      </c>
      <c r="K42" s="540"/>
      <c r="L42" s="549">
        <f t="shared" si="0"/>
        <v>2630.5200000000004</v>
      </c>
      <c r="M42" s="541"/>
      <c r="N42" s="550">
        <f t="shared" si="1"/>
        <v>43345.49</v>
      </c>
      <c r="P42" s="2"/>
      <c r="Q42" s="2"/>
      <c r="R42" s="2"/>
      <c r="S42" s="2"/>
      <c r="T42" s="2"/>
      <c r="U42" s="2"/>
      <c r="V42" s="2"/>
      <c r="W42" s="2"/>
      <c r="X42" s="2"/>
    </row>
    <row r="43" spans="1:24" s="308" customFormat="1" ht="12.75">
      <c r="A43" s="543">
        <v>4363583</v>
      </c>
      <c r="B43" s="544" t="s">
        <v>20</v>
      </c>
      <c r="C43" s="544" t="s">
        <v>38</v>
      </c>
      <c r="D43" s="545">
        <v>49982.94</v>
      </c>
      <c r="E43" s="535">
        <v>21207.12</v>
      </c>
      <c r="F43" s="546">
        <v>5.75</v>
      </c>
      <c r="G43" s="547">
        <v>2001</v>
      </c>
      <c r="H43" s="547">
        <v>2020</v>
      </c>
      <c r="I43" s="548">
        <v>4229.3</v>
      </c>
      <c r="J43" s="549">
        <v>3053.15</v>
      </c>
      <c r="K43" s="540">
        <v>3030</v>
      </c>
      <c r="L43" s="549">
        <f t="shared" si="0"/>
        <v>1176.15</v>
      </c>
      <c r="M43" s="541">
        <v>910</v>
      </c>
      <c r="N43" s="550">
        <f t="shared" si="1"/>
        <v>18153.969999999998</v>
      </c>
      <c r="P43" s="2"/>
      <c r="Q43" s="2"/>
      <c r="R43" s="2"/>
      <c r="S43" s="2"/>
      <c r="T43" s="2"/>
      <c r="U43" s="2"/>
      <c r="V43" s="2"/>
      <c r="W43" s="2"/>
      <c r="X43" s="2"/>
    </row>
    <row r="44" spans="1:24" s="308" customFormat="1" ht="12.75">
      <c r="A44" s="551">
        <v>4317938</v>
      </c>
      <c r="B44" s="552" t="s">
        <v>20</v>
      </c>
      <c r="C44" s="552" t="s">
        <v>38</v>
      </c>
      <c r="D44" s="553">
        <v>50396.44</v>
      </c>
      <c r="E44" s="535">
        <v>12262.14</v>
      </c>
      <c r="F44" s="554">
        <v>6.5</v>
      </c>
      <c r="G44" s="555">
        <v>1998</v>
      </c>
      <c r="H44" s="555">
        <v>2017</v>
      </c>
      <c r="I44" s="556">
        <v>4564.72</v>
      </c>
      <c r="J44" s="557">
        <v>3828.9</v>
      </c>
      <c r="K44" s="540" t="s">
        <v>42</v>
      </c>
      <c r="L44" s="557">
        <f>I44-J44</f>
        <v>735.8200000000002</v>
      </c>
      <c r="M44" s="541" t="s">
        <v>42</v>
      </c>
      <c r="N44" s="558">
        <f>E44-J44</f>
        <v>8433.24</v>
      </c>
      <c r="P44" s="2"/>
      <c r="Q44" s="2"/>
      <c r="R44" s="2"/>
      <c r="S44" s="2"/>
      <c r="T44" s="2"/>
      <c r="U44" s="2"/>
      <c r="V44" s="2"/>
      <c r="W44" s="2"/>
      <c r="X44" s="2"/>
    </row>
    <row r="45" spans="1:24" s="308" customFormat="1" ht="13.5" thickBot="1">
      <c r="A45" s="559" t="s">
        <v>94</v>
      </c>
      <c r="B45" s="544" t="s">
        <v>20</v>
      </c>
      <c r="C45" s="544" t="s">
        <v>85</v>
      </c>
      <c r="D45" s="553">
        <v>130000</v>
      </c>
      <c r="E45" s="560">
        <v>102028.7</v>
      </c>
      <c r="F45" s="554">
        <v>4.39</v>
      </c>
      <c r="G45" s="555">
        <v>2008</v>
      </c>
      <c r="H45" s="555">
        <v>2028</v>
      </c>
      <c r="I45" s="556">
        <v>9832.52</v>
      </c>
      <c r="J45" s="557">
        <v>5412.22</v>
      </c>
      <c r="K45" s="540"/>
      <c r="L45" s="557">
        <f>I45-J45</f>
        <v>4420.3</v>
      </c>
      <c r="M45" s="541"/>
      <c r="N45" s="550">
        <f>E45-J45</f>
        <v>96616.48</v>
      </c>
      <c r="P45" s="2"/>
      <c r="Q45" s="2"/>
      <c r="R45" s="2"/>
      <c r="S45" s="2"/>
      <c r="T45" s="2"/>
      <c r="U45" s="2"/>
      <c r="V45" s="2"/>
      <c r="W45" s="2"/>
      <c r="X45" s="2"/>
    </row>
    <row r="46" spans="1:14" ht="13.5" thickBot="1">
      <c r="A46" s="152"/>
      <c r="B46" s="98"/>
      <c r="C46" s="98"/>
      <c r="D46" s="99"/>
      <c r="E46" s="100" t="s">
        <v>42</v>
      </c>
      <c r="F46" s="101"/>
      <c r="G46" s="102"/>
      <c r="H46" s="103" t="s">
        <v>43</v>
      </c>
      <c r="I46" s="104">
        <f>SUM(I41:I45)</f>
        <v>34850.68</v>
      </c>
      <c r="J46" s="100">
        <f>SUM(J41:J45)</f>
        <v>23313.14</v>
      </c>
      <c r="K46" s="224"/>
      <c r="L46" s="100">
        <f t="shared" si="0"/>
        <v>11537.54</v>
      </c>
      <c r="M46" s="224"/>
      <c r="N46" s="169">
        <f>SUM(N41:N45)</f>
        <v>216937.06</v>
      </c>
    </row>
    <row r="47" spans="1:24" s="308" customFormat="1" ht="12.75">
      <c r="A47" s="532">
        <v>4284047</v>
      </c>
      <c r="B47" s="533" t="s">
        <v>20</v>
      </c>
      <c r="C47" s="533" t="s">
        <v>39</v>
      </c>
      <c r="D47" s="534">
        <v>77468.53</v>
      </c>
      <c r="E47" s="535">
        <v>13176.33</v>
      </c>
      <c r="F47" s="536">
        <v>6.5</v>
      </c>
      <c r="G47" s="537">
        <v>1997</v>
      </c>
      <c r="H47" s="537">
        <v>2016</v>
      </c>
      <c r="I47" s="538">
        <v>7132.02</v>
      </c>
      <c r="J47" s="539">
        <v>6377.54</v>
      </c>
      <c r="K47" s="540">
        <v>3030</v>
      </c>
      <c r="L47" s="539">
        <f t="shared" si="0"/>
        <v>754.4800000000005</v>
      </c>
      <c r="M47" s="541">
        <v>930</v>
      </c>
      <c r="N47" s="542">
        <f>E47-J47</f>
        <v>6798.79</v>
      </c>
      <c r="P47" s="2"/>
      <c r="Q47" s="2"/>
      <c r="R47" s="2"/>
      <c r="S47" s="2"/>
      <c r="T47" s="2"/>
      <c r="U47" s="2"/>
      <c r="V47" s="2"/>
      <c r="W47" s="2"/>
      <c r="X47" s="2"/>
    </row>
    <row r="48" spans="1:24" s="323" customFormat="1" ht="31.5" thickBot="1">
      <c r="A48" s="559" t="s">
        <v>105</v>
      </c>
      <c r="B48" s="552" t="s">
        <v>20</v>
      </c>
      <c r="C48" s="605" t="s">
        <v>100</v>
      </c>
      <c r="D48" s="553">
        <v>50000</v>
      </c>
      <c r="E48" s="606">
        <v>41187.89</v>
      </c>
      <c r="F48" s="554">
        <v>4.32</v>
      </c>
      <c r="G48" s="555">
        <v>2010</v>
      </c>
      <c r="H48" s="555">
        <v>2029</v>
      </c>
      <c r="I48" s="556">
        <v>3761.52</v>
      </c>
      <c r="J48" s="623">
        <v>2000.33</v>
      </c>
      <c r="K48" s="624"/>
      <c r="L48" s="625">
        <f>I48-J48</f>
        <v>1761.19</v>
      </c>
      <c r="M48" s="626"/>
      <c r="N48" s="550">
        <f>E48-J48</f>
        <v>39187.56</v>
      </c>
      <c r="P48" s="237"/>
      <c r="Q48" s="237"/>
      <c r="R48" s="237"/>
      <c r="S48" s="237"/>
      <c r="T48" s="237"/>
      <c r="U48" s="237"/>
      <c r="V48" s="237"/>
      <c r="W48" s="237"/>
      <c r="X48" s="237"/>
    </row>
    <row r="49" spans="1:14" ht="13.5" thickBot="1">
      <c r="A49" s="145"/>
      <c r="B49" s="98"/>
      <c r="C49" s="98"/>
      <c r="D49" s="99"/>
      <c r="E49" s="100" t="s">
        <v>42</v>
      </c>
      <c r="F49" s="101"/>
      <c r="G49" s="102"/>
      <c r="H49" s="103" t="s">
        <v>43</v>
      </c>
      <c r="I49" s="163">
        <f>SUM(I47:I48)</f>
        <v>10893.54</v>
      </c>
      <c r="J49" s="162">
        <f>SUM(J47:J48)</f>
        <v>8377.869999999999</v>
      </c>
      <c r="K49" s="224"/>
      <c r="L49" s="106">
        <f t="shared" si="0"/>
        <v>2515.670000000002</v>
      </c>
      <c r="M49" s="224"/>
      <c r="N49" s="169">
        <f>SUM(N47:N48)</f>
        <v>45986.35</v>
      </c>
    </row>
    <row r="50" spans="1:14" ht="13.5" hidden="1" thickBot="1">
      <c r="A50" s="154"/>
      <c r="B50" s="12"/>
      <c r="C50" s="12"/>
      <c r="D50" s="3"/>
      <c r="E50" s="4"/>
      <c r="F50" s="13"/>
      <c r="G50" s="25"/>
      <c r="H50" s="25"/>
      <c r="I50" s="5"/>
      <c r="J50" s="4"/>
      <c r="K50" s="14"/>
      <c r="L50" s="109">
        <f t="shared" si="0"/>
        <v>0</v>
      </c>
      <c r="M50" s="66"/>
      <c r="N50" s="173">
        <f t="shared" si="1"/>
        <v>0</v>
      </c>
    </row>
    <row r="51" spans="1:14" ht="13.5" hidden="1" thickBot="1">
      <c r="A51" s="154"/>
      <c r="B51" s="12"/>
      <c r="C51" s="12"/>
      <c r="D51" s="3"/>
      <c r="E51" s="4"/>
      <c r="F51" s="13"/>
      <c r="G51" s="25"/>
      <c r="H51" s="25"/>
      <c r="I51" s="5"/>
      <c r="J51" s="4"/>
      <c r="K51" s="14"/>
      <c r="L51" s="15">
        <f t="shared" si="0"/>
        <v>0</v>
      </c>
      <c r="M51" s="27"/>
      <c r="N51" s="173">
        <f t="shared" si="1"/>
        <v>0</v>
      </c>
    </row>
    <row r="52" spans="1:14" ht="13.5" hidden="1" thickBot="1">
      <c r="A52" s="154"/>
      <c r="B52" s="12"/>
      <c r="C52" s="12"/>
      <c r="D52" s="3"/>
      <c r="E52" s="4"/>
      <c r="F52" s="13"/>
      <c r="G52" s="25"/>
      <c r="H52" s="25"/>
      <c r="I52" s="5"/>
      <c r="J52" s="4"/>
      <c r="K52" s="14"/>
      <c r="L52" s="15">
        <f t="shared" si="0"/>
        <v>0</v>
      </c>
      <c r="M52" s="27"/>
      <c r="N52" s="173">
        <f t="shared" si="1"/>
        <v>0</v>
      </c>
    </row>
    <row r="53" spans="1:14" ht="13.5" hidden="1" thickBot="1">
      <c r="A53" s="154"/>
      <c r="B53" s="12"/>
      <c r="C53" s="12"/>
      <c r="D53" s="3"/>
      <c r="E53" s="4"/>
      <c r="F53" s="13"/>
      <c r="G53" s="25"/>
      <c r="H53" s="25"/>
      <c r="I53" s="5"/>
      <c r="J53" s="4"/>
      <c r="K53" s="14"/>
      <c r="L53" s="15">
        <f t="shared" si="0"/>
        <v>0</v>
      </c>
      <c r="M53" s="27"/>
      <c r="N53" s="173">
        <f t="shared" si="1"/>
        <v>0</v>
      </c>
    </row>
    <row r="54" spans="1:14" ht="13.5" hidden="1" thickBot="1">
      <c r="A54" s="154"/>
      <c r="B54" s="12"/>
      <c r="C54" s="12"/>
      <c r="D54" s="3"/>
      <c r="E54" s="4"/>
      <c r="F54" s="13"/>
      <c r="G54" s="25"/>
      <c r="H54" s="25"/>
      <c r="I54" s="5"/>
      <c r="J54" s="4"/>
      <c r="K54" s="14"/>
      <c r="L54" s="15">
        <f t="shared" si="0"/>
        <v>0</v>
      </c>
      <c r="M54" s="27"/>
      <c r="N54" s="173">
        <f t="shared" si="1"/>
        <v>0</v>
      </c>
    </row>
    <row r="55" spans="1:14" ht="13.5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5">
        <f t="shared" si="0"/>
        <v>0</v>
      </c>
      <c r="M55" s="27"/>
      <c r="N55" s="173">
        <f t="shared" si="1"/>
        <v>0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aca="true" t="shared" si="2" ref="L66:L78">I66-J66</f>
        <v>0</v>
      </c>
      <c r="M66" s="27"/>
      <c r="N66" s="173">
        <f aca="true" t="shared" si="3" ref="N66:N78">E66-J66</f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2"/>
        <v>0</v>
      </c>
      <c r="M67" s="27"/>
      <c r="N67" s="173">
        <f t="shared" si="3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2"/>
        <v>0</v>
      </c>
      <c r="M68" s="27"/>
      <c r="N68" s="173">
        <f t="shared" si="3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73">
        <f t="shared" si="3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5"/>
      <c r="B78" s="111"/>
      <c r="C78" s="111"/>
      <c r="D78" s="112"/>
      <c r="E78" s="126"/>
      <c r="F78" s="114"/>
      <c r="G78" s="115"/>
      <c r="H78" s="115"/>
      <c r="I78" s="116"/>
      <c r="J78" s="126"/>
      <c r="K78" s="127"/>
      <c r="L78" s="90">
        <f t="shared" si="2"/>
        <v>0</v>
      </c>
      <c r="M78" s="27"/>
      <c r="N78" s="170">
        <f t="shared" si="3"/>
        <v>0</v>
      </c>
    </row>
    <row r="79" spans="1:14" ht="14.25" thickBot="1" thickTop="1">
      <c r="A79" s="128"/>
      <c r="B79" s="129"/>
      <c r="C79" s="130" t="s">
        <v>8</v>
      </c>
      <c r="D79" s="131">
        <f>SUM(D3:D78)</f>
        <v>3742536.2199999993</v>
      </c>
      <c r="E79" s="132">
        <f>SUM(E3:E78)</f>
        <v>1886014.4899999995</v>
      </c>
      <c r="F79" s="133"/>
      <c r="G79" s="133"/>
      <c r="H79" s="133"/>
      <c r="I79" s="134">
        <f>+I12+I18+I21+I34+I40+I46+I49</f>
        <v>302141.86999999994</v>
      </c>
      <c r="J79" s="134">
        <f>+J12+J18+J21+J34+J40+J46+J49</f>
        <v>212438.25</v>
      </c>
      <c r="K79" s="133"/>
      <c r="L79" s="134">
        <f>+L12+L18+L21+L34+L40+L46+L49</f>
        <v>89703.61999999998</v>
      </c>
      <c r="M79" s="135"/>
      <c r="N79" s="136">
        <f>+N12+N18+N21+N34+N40+N46+N49</f>
        <v>1673576.24</v>
      </c>
    </row>
    <row r="80" ht="13.5" thickTop="1"/>
    <row r="82" ht="12.75">
      <c r="A82" s="2" t="s">
        <v>42</v>
      </c>
    </row>
    <row r="83" ht="12.75">
      <c r="J83" s="295"/>
    </row>
    <row r="84" ht="12.75">
      <c r="J84" s="296"/>
    </row>
  </sheetData>
  <sheetProtection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view="pageLayout" zoomScaleNormal="110" workbookViewId="0" topLeftCell="B31">
      <selection activeCell="D2" sqref="D2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00390625" style="2" customWidth="1"/>
    <col min="4" max="5" width="12.00390625" style="2" customWidth="1"/>
    <col min="6" max="8" width="9.140625" style="2" customWidth="1"/>
    <col min="9" max="9" width="10.7109375" style="2" customWidth="1"/>
    <col min="10" max="10" width="11.851562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135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165</v>
      </c>
      <c r="F2" s="138" t="s">
        <v>3</v>
      </c>
      <c r="G2" s="138" t="s">
        <v>4</v>
      </c>
      <c r="H2" s="138" t="s">
        <v>5</v>
      </c>
      <c r="I2" s="138" t="s">
        <v>166</v>
      </c>
      <c r="J2" s="138" t="s">
        <v>137</v>
      </c>
      <c r="K2" s="138" t="s">
        <v>6</v>
      </c>
      <c r="L2" s="138" t="s">
        <v>139</v>
      </c>
      <c r="M2" s="138" t="s">
        <v>6</v>
      </c>
      <c r="N2" s="138" t="s">
        <v>138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v>212922.04</v>
      </c>
      <c r="F3" s="48">
        <v>4.8</v>
      </c>
      <c r="G3" s="49">
        <v>2004</v>
      </c>
      <c r="H3" s="49">
        <v>2023</v>
      </c>
      <c r="I3" s="50">
        <v>32365.92</v>
      </c>
      <c r="J3" s="15">
        <v>22411.41</v>
      </c>
      <c r="K3" s="34" t="s">
        <v>42</v>
      </c>
      <c r="L3" s="15">
        <f>I3-J3</f>
        <v>9954.509999999998</v>
      </c>
      <c r="M3" s="35" t="s">
        <v>42</v>
      </c>
      <c r="N3" s="141">
        <f>E3-J3</f>
        <v>190510.63</v>
      </c>
    </row>
    <row r="4" spans="1:14" ht="12.75">
      <c r="A4" s="140">
        <v>4403430</v>
      </c>
      <c r="B4" s="46" t="s">
        <v>7</v>
      </c>
      <c r="C4" s="46" t="s">
        <v>15</v>
      </c>
      <c r="D4" s="47">
        <v>154937.07</v>
      </c>
      <c r="E4" s="55">
        <v>64165.44</v>
      </c>
      <c r="F4" s="48">
        <v>5.25</v>
      </c>
      <c r="G4" s="49">
        <v>2002.2021</v>
      </c>
      <c r="H4" s="49">
        <v>2021</v>
      </c>
      <c r="I4" s="50">
        <v>12605.48</v>
      </c>
      <c r="J4" s="15">
        <v>9358.03</v>
      </c>
      <c r="K4" s="34"/>
      <c r="L4" s="15">
        <f aca="true" t="shared" si="0" ref="L4:L63">I4-J4</f>
        <v>3247.449999999999</v>
      </c>
      <c r="M4" s="35"/>
      <c r="N4" s="141">
        <f aca="true" t="shared" si="1" ref="N4:N63">E4-J4</f>
        <v>54807.41</v>
      </c>
    </row>
    <row r="5" spans="1:14" ht="12" customHeight="1">
      <c r="A5" s="140">
        <v>4370159</v>
      </c>
      <c r="B5" s="46" t="s">
        <v>7</v>
      </c>
      <c r="C5" s="46" t="s">
        <v>15</v>
      </c>
      <c r="D5" s="47">
        <v>103291.38</v>
      </c>
      <c r="E5" s="55">
        <v>37591.27</v>
      </c>
      <c r="F5" s="48">
        <v>5.75</v>
      </c>
      <c r="G5" s="49">
        <v>2001</v>
      </c>
      <c r="H5" s="49">
        <v>2020</v>
      </c>
      <c r="I5" s="50">
        <v>8757.58</v>
      </c>
      <c r="J5" s="15">
        <v>6690.9</v>
      </c>
      <c r="K5" s="34"/>
      <c r="L5" s="15">
        <f t="shared" si="0"/>
        <v>2066.6800000000003</v>
      </c>
      <c r="M5" s="35"/>
      <c r="N5" s="141">
        <f t="shared" si="1"/>
        <v>30900.369999999995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v>28193.48</v>
      </c>
      <c r="F6" s="48">
        <v>5.75</v>
      </c>
      <c r="G6" s="49">
        <v>2001</v>
      </c>
      <c r="H6" s="49">
        <v>2020</v>
      </c>
      <c r="I6" s="50">
        <v>6568.18</v>
      </c>
      <c r="J6" s="15">
        <v>5018.17</v>
      </c>
      <c r="K6" s="34"/>
      <c r="L6" s="15">
        <f t="shared" si="0"/>
        <v>1550.0100000000002</v>
      </c>
      <c r="M6" s="35"/>
      <c r="N6" s="141">
        <f t="shared" si="1"/>
        <v>23175.309999999998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v>35815.33</v>
      </c>
      <c r="F7" s="48">
        <v>0</v>
      </c>
      <c r="G7" s="49">
        <v>2000</v>
      </c>
      <c r="H7" s="49">
        <v>2019</v>
      </c>
      <c r="I7" s="50">
        <f>9753.84</f>
        <v>9753.84</v>
      </c>
      <c r="J7" s="15">
        <f>4476.92+4476.92</f>
        <v>8953.84</v>
      </c>
      <c r="K7" s="34">
        <v>3030</v>
      </c>
      <c r="L7" s="15">
        <f t="shared" si="0"/>
        <v>800</v>
      </c>
      <c r="M7" s="35">
        <v>283</v>
      </c>
      <c r="N7" s="141">
        <f t="shared" si="1"/>
        <v>26861.49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v>1040.04</v>
      </c>
      <c r="F8" s="48">
        <v>6.5</v>
      </c>
      <c r="G8" s="49">
        <v>1998</v>
      </c>
      <c r="H8" s="49">
        <v>2017</v>
      </c>
      <c r="I8" s="50">
        <v>562.98</v>
      </c>
      <c r="J8" s="15">
        <v>503.43</v>
      </c>
      <c r="K8" s="34"/>
      <c r="L8" s="15">
        <f t="shared" si="0"/>
        <v>59.55000000000001</v>
      </c>
      <c r="M8" s="35"/>
      <c r="N8" s="141">
        <f t="shared" si="1"/>
        <v>536.6099999999999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v>24962.08</v>
      </c>
      <c r="F9" s="48">
        <v>6.5</v>
      </c>
      <c r="G9" s="49">
        <v>1998</v>
      </c>
      <c r="H9" s="49">
        <v>2017</v>
      </c>
      <c r="I9" s="50">
        <v>13511.4</v>
      </c>
      <c r="J9" s="15">
        <v>12082.05</v>
      </c>
      <c r="K9" s="34"/>
      <c r="L9" s="15">
        <f t="shared" si="0"/>
        <v>1429.3500000000004</v>
      </c>
      <c r="M9" s="35"/>
      <c r="N9" s="141">
        <f t="shared" si="1"/>
        <v>12880.030000000002</v>
      </c>
    </row>
    <row r="10" spans="1:14" ht="12.75">
      <c r="A10" s="222" t="s">
        <v>77</v>
      </c>
      <c r="B10" s="82" t="s">
        <v>7</v>
      </c>
      <c r="C10" s="82" t="s">
        <v>72</v>
      </c>
      <c r="D10" s="83">
        <v>80000</v>
      </c>
      <c r="E10" s="84">
        <v>47327.27</v>
      </c>
      <c r="F10" s="85">
        <v>3.72</v>
      </c>
      <c r="G10" s="86">
        <v>2006</v>
      </c>
      <c r="H10" s="86">
        <v>2025</v>
      </c>
      <c r="I10" s="89">
        <v>5716.4</v>
      </c>
      <c r="J10" s="90">
        <v>3983.26</v>
      </c>
      <c r="K10" s="34"/>
      <c r="L10" s="90">
        <f>I10-J10</f>
        <v>1733.1399999999994</v>
      </c>
      <c r="M10" s="35"/>
      <c r="N10" s="141">
        <f>E10-J10</f>
        <v>43344.009999999995</v>
      </c>
    </row>
    <row r="11" spans="1:14" s="237" customFormat="1" ht="13.5" thickBot="1">
      <c r="A11" s="54" t="s">
        <v>102</v>
      </c>
      <c r="B11" s="46" t="s">
        <v>20</v>
      </c>
      <c r="C11" s="46" t="s">
        <v>92</v>
      </c>
      <c r="D11" s="47">
        <v>60000</v>
      </c>
      <c r="E11" s="77">
        <v>47370.23</v>
      </c>
      <c r="F11" s="48">
        <v>4.17</v>
      </c>
      <c r="G11" s="49">
        <v>2010</v>
      </c>
      <c r="H11" s="49">
        <v>2029</v>
      </c>
      <c r="I11" s="50">
        <v>4644.1</v>
      </c>
      <c r="J11" s="15">
        <v>2465.51</v>
      </c>
      <c r="K11" s="65"/>
      <c r="L11" s="90">
        <f>I11-J11</f>
        <v>2178.59</v>
      </c>
      <c r="M11" s="66"/>
      <c r="N11" s="141">
        <f>E11-J11</f>
        <v>44904.72</v>
      </c>
    </row>
    <row r="12" spans="1:14" ht="13.5" thickBot="1">
      <c r="A12" s="145"/>
      <c r="B12" s="98"/>
      <c r="C12" s="98"/>
      <c r="D12" s="99"/>
      <c r="E12" s="162" t="s">
        <v>42</v>
      </c>
      <c r="F12" s="101"/>
      <c r="G12" s="102"/>
      <c r="H12" s="103" t="s">
        <v>43</v>
      </c>
      <c r="I12" s="104">
        <f>SUM(I3:I11)</f>
        <v>94485.87999999999</v>
      </c>
      <c r="J12" s="100">
        <f>SUM(J3:J11)</f>
        <v>71466.59999999999</v>
      </c>
      <c r="K12" s="223"/>
      <c r="L12" s="106">
        <f t="shared" si="0"/>
        <v>23019.28</v>
      </c>
      <c r="M12" s="224"/>
      <c r="N12" s="146">
        <f>SUM(N3:N11)</f>
        <v>427920.5800000001</v>
      </c>
    </row>
    <row r="13" spans="1:14" ht="12.75">
      <c r="A13" s="147">
        <v>4367661</v>
      </c>
      <c r="B13" s="91" t="s">
        <v>20</v>
      </c>
      <c r="C13" s="91" t="s">
        <v>21</v>
      </c>
      <c r="D13" s="92">
        <v>51645.69</v>
      </c>
      <c r="E13" s="77">
        <v>18795.62</v>
      </c>
      <c r="F13" s="93">
        <v>5.75</v>
      </c>
      <c r="G13" s="94">
        <v>2001</v>
      </c>
      <c r="H13" s="94">
        <v>2020</v>
      </c>
      <c r="I13" s="95">
        <v>4378.78</v>
      </c>
      <c r="J13" s="96">
        <v>3345.45</v>
      </c>
      <c r="K13" s="65"/>
      <c r="L13" s="97">
        <f t="shared" si="0"/>
        <v>1033.33</v>
      </c>
      <c r="M13" s="66"/>
      <c r="N13" s="168">
        <f t="shared" si="1"/>
        <v>15450.169999999998</v>
      </c>
    </row>
    <row r="14" spans="1:14" ht="12.75">
      <c r="A14" s="140">
        <v>4363580</v>
      </c>
      <c r="B14" s="46" t="s">
        <v>20</v>
      </c>
      <c r="C14" s="46" t="s">
        <v>22</v>
      </c>
      <c r="D14" s="47">
        <v>77468.53</v>
      </c>
      <c r="E14" s="77">
        <v>28193.48</v>
      </c>
      <c r="F14" s="48">
        <v>5.75</v>
      </c>
      <c r="G14" s="49">
        <v>2001</v>
      </c>
      <c r="H14" s="49">
        <v>2020</v>
      </c>
      <c r="I14" s="50">
        <v>6568.18</v>
      </c>
      <c r="J14" s="43">
        <v>5018.17</v>
      </c>
      <c r="K14" s="65"/>
      <c r="L14" s="42">
        <f t="shared" si="0"/>
        <v>1550.0100000000002</v>
      </c>
      <c r="M14" s="66"/>
      <c r="N14" s="141">
        <f t="shared" si="1"/>
        <v>23175.309999999998</v>
      </c>
    </row>
    <row r="15" spans="1:14" ht="12.75">
      <c r="A15" s="142" t="s">
        <v>23</v>
      </c>
      <c r="B15" s="46" t="s">
        <v>20</v>
      </c>
      <c r="C15" s="46" t="s">
        <v>24</v>
      </c>
      <c r="D15" s="47">
        <v>55628.72</v>
      </c>
      <c r="E15" s="77">
        <v>11936.14</v>
      </c>
      <c r="F15" s="48">
        <v>4.85</v>
      </c>
      <c r="G15" s="49">
        <v>1999</v>
      </c>
      <c r="H15" s="49">
        <v>2018</v>
      </c>
      <c r="I15" s="50">
        <v>4323.16</v>
      </c>
      <c r="J15" s="43">
        <v>3789.66</v>
      </c>
      <c r="K15" s="65">
        <v>3030</v>
      </c>
      <c r="L15" s="42">
        <f t="shared" si="0"/>
        <v>533.5</v>
      </c>
      <c r="M15" s="66">
        <v>518</v>
      </c>
      <c r="N15" s="141">
        <f t="shared" si="1"/>
        <v>8146.48</v>
      </c>
    </row>
    <row r="16" spans="1:14" s="237" customFormat="1" ht="13.5" thickBot="1">
      <c r="A16" s="143">
        <v>4555239</v>
      </c>
      <c r="B16" s="82" t="s">
        <v>20</v>
      </c>
      <c r="C16" s="82" t="s">
        <v>164</v>
      </c>
      <c r="D16" s="83">
        <v>127500</v>
      </c>
      <c r="E16" s="77">
        <v>113190.31</v>
      </c>
      <c r="F16" s="85">
        <v>6.51</v>
      </c>
      <c r="G16" s="86">
        <v>2012</v>
      </c>
      <c r="H16" s="86">
        <v>2031</v>
      </c>
      <c r="I16" s="89">
        <v>11495.76</v>
      </c>
      <c r="J16" s="157">
        <v>4188.55</v>
      </c>
      <c r="K16" s="65"/>
      <c r="L16" s="108">
        <f>I16-J16</f>
        <v>7307.21</v>
      </c>
      <c r="M16" s="66"/>
      <c r="N16" s="141">
        <f>E16-J16</f>
        <v>109001.76</v>
      </c>
    </row>
    <row r="17" spans="1:14" ht="13.5" thickBot="1">
      <c r="A17" s="145"/>
      <c r="B17" s="98"/>
      <c r="C17" s="98"/>
      <c r="D17" s="99"/>
      <c r="E17" s="110" t="s">
        <v>42</v>
      </c>
      <c r="F17" s="101"/>
      <c r="G17" s="102"/>
      <c r="H17" s="103" t="s">
        <v>43</v>
      </c>
      <c r="I17" s="104">
        <f>SUM(I13:I16)</f>
        <v>26765.879999999997</v>
      </c>
      <c r="J17" s="100">
        <f>SUM(J13:J16)</f>
        <v>16341.829999999998</v>
      </c>
      <c r="K17" s="223"/>
      <c r="L17" s="106">
        <f t="shared" si="0"/>
        <v>10424.05</v>
      </c>
      <c r="M17" s="224"/>
      <c r="N17" s="169">
        <f>SUM(N13:N16)</f>
        <v>155773.71999999997</v>
      </c>
    </row>
    <row r="18" spans="1:14" ht="12.75">
      <c r="A18" s="757">
        <v>22851</v>
      </c>
      <c r="B18" s="758" t="s">
        <v>26</v>
      </c>
      <c r="C18" s="758" t="s">
        <v>27</v>
      </c>
      <c r="D18" s="759">
        <v>77468.53</v>
      </c>
      <c r="E18" s="760">
        <v>7133.82</v>
      </c>
      <c r="F18" s="761">
        <v>5</v>
      </c>
      <c r="G18" s="762">
        <v>2002</v>
      </c>
      <c r="H18" s="762">
        <v>2016</v>
      </c>
      <c r="I18" s="763">
        <v>7402.53</v>
      </c>
      <c r="J18" s="764">
        <v>7133.82</v>
      </c>
      <c r="K18" s="765">
        <v>3040</v>
      </c>
      <c r="L18" s="766">
        <f>I18-J18</f>
        <v>268.71000000000004</v>
      </c>
      <c r="M18" s="767">
        <v>645</v>
      </c>
      <c r="N18" s="768">
        <f>E18-J18</f>
        <v>0</v>
      </c>
    </row>
    <row r="19" spans="1:14" s="237" customFormat="1" ht="13.5" thickBot="1">
      <c r="A19" s="149">
        <v>4550239</v>
      </c>
      <c r="B19" s="111" t="s">
        <v>20</v>
      </c>
      <c r="C19" s="111" t="s">
        <v>93</v>
      </c>
      <c r="D19" s="112">
        <v>114950</v>
      </c>
      <c r="E19" s="113">
        <v>99966.29</v>
      </c>
      <c r="F19" s="114">
        <v>4.93</v>
      </c>
      <c r="G19" s="115">
        <v>2012</v>
      </c>
      <c r="H19" s="115">
        <v>2031</v>
      </c>
      <c r="I19" s="116">
        <v>9111.38</v>
      </c>
      <c r="J19" s="117">
        <v>4225.58</v>
      </c>
      <c r="K19" s="34">
        <v>3030</v>
      </c>
      <c r="L19" s="118">
        <f>I19-J19</f>
        <v>4885.799999999999</v>
      </c>
      <c r="M19" s="66">
        <v>645</v>
      </c>
      <c r="N19" s="170">
        <f>E19-J19</f>
        <v>95740.70999999999</v>
      </c>
    </row>
    <row r="20" spans="1:14" ht="13.5" thickBot="1">
      <c r="A20" s="145"/>
      <c r="B20" s="98"/>
      <c r="C20" s="98"/>
      <c r="D20" s="99"/>
      <c r="E20" s="100" t="s">
        <v>42</v>
      </c>
      <c r="F20" s="101"/>
      <c r="G20" s="103"/>
      <c r="H20" s="103" t="s">
        <v>43</v>
      </c>
      <c r="I20" s="104">
        <f>SUM(I18:I19)</f>
        <v>16513.91</v>
      </c>
      <c r="J20" s="100">
        <f>SUM(J18:J19)</f>
        <v>11359.4</v>
      </c>
      <c r="K20" s="224"/>
      <c r="L20" s="106">
        <f t="shared" si="0"/>
        <v>5154.51</v>
      </c>
      <c r="M20" s="224"/>
      <c r="N20" s="169">
        <f>SUM(N18:N19)</f>
        <v>95740.70999999999</v>
      </c>
    </row>
    <row r="21" spans="1:14" ht="12.75">
      <c r="A21" s="151" t="s">
        <v>28</v>
      </c>
      <c r="B21" s="91" t="s">
        <v>20</v>
      </c>
      <c r="C21" s="91" t="s">
        <v>29</v>
      </c>
      <c r="D21" s="92">
        <v>17559.53</v>
      </c>
      <c r="E21" s="113">
        <v>6390.5</v>
      </c>
      <c r="F21" s="93">
        <v>5.75</v>
      </c>
      <c r="G21" s="94">
        <v>2001</v>
      </c>
      <c r="H21" s="94">
        <v>2020</v>
      </c>
      <c r="I21" s="95">
        <v>1488.78</v>
      </c>
      <c r="J21" s="109">
        <v>1137.46</v>
      </c>
      <c r="K21" s="34"/>
      <c r="L21" s="109">
        <f t="shared" si="0"/>
        <v>351.31999999999994</v>
      </c>
      <c r="M21" s="35"/>
      <c r="N21" s="150">
        <f t="shared" si="1"/>
        <v>5253.04</v>
      </c>
    </row>
    <row r="22" spans="1:14" ht="12.75">
      <c r="A22" s="140">
        <v>4364549</v>
      </c>
      <c r="B22" s="46" t="s">
        <v>20</v>
      </c>
      <c r="C22" s="46" t="s">
        <v>29</v>
      </c>
      <c r="D22" s="47">
        <v>137377.54</v>
      </c>
      <c r="E22" s="77">
        <v>49996.47</v>
      </c>
      <c r="F22" s="48">
        <v>5.75</v>
      </c>
      <c r="G22" s="49">
        <v>2001</v>
      </c>
      <c r="H22" s="49">
        <v>2020</v>
      </c>
      <c r="I22" s="50">
        <v>11647.56</v>
      </c>
      <c r="J22" s="15">
        <v>8898.89</v>
      </c>
      <c r="K22" s="34"/>
      <c r="L22" s="15">
        <f t="shared" si="0"/>
        <v>2748.67</v>
      </c>
      <c r="M22" s="35"/>
      <c r="N22" s="141">
        <f t="shared" si="1"/>
        <v>41097.58</v>
      </c>
    </row>
    <row r="23" spans="1:14" ht="12.75">
      <c r="A23" s="140">
        <v>4297871</v>
      </c>
      <c r="B23" s="46" t="s">
        <v>20</v>
      </c>
      <c r="C23" s="46" t="s">
        <v>29</v>
      </c>
      <c r="D23" s="47">
        <v>129114.22</v>
      </c>
      <c r="E23" s="77">
        <v>11282.61</v>
      </c>
      <c r="F23" s="48">
        <v>6.5</v>
      </c>
      <c r="G23" s="49">
        <v>1997</v>
      </c>
      <c r="H23" s="49">
        <v>2016</v>
      </c>
      <c r="I23" s="50">
        <v>11835.58</v>
      </c>
      <c r="J23" s="15">
        <v>11282.61</v>
      </c>
      <c r="K23" s="34"/>
      <c r="L23" s="15">
        <f t="shared" si="0"/>
        <v>552.9699999999993</v>
      </c>
      <c r="M23" s="35"/>
      <c r="N23" s="141">
        <f t="shared" si="1"/>
        <v>0</v>
      </c>
    </row>
    <row r="24" spans="1:14" ht="13.5" customHeight="1">
      <c r="A24" s="183">
        <v>4464738</v>
      </c>
      <c r="B24" s="46" t="s">
        <v>20</v>
      </c>
      <c r="C24" s="46" t="s">
        <v>29</v>
      </c>
      <c r="D24" s="83">
        <v>160000</v>
      </c>
      <c r="E24" s="77">
        <v>93359.36</v>
      </c>
      <c r="F24" s="85">
        <v>3.4</v>
      </c>
      <c r="G24" s="86">
        <v>2006</v>
      </c>
      <c r="H24" s="86">
        <v>2025</v>
      </c>
      <c r="I24" s="89">
        <v>11091.2</v>
      </c>
      <c r="J24" s="90">
        <v>7984.27</v>
      </c>
      <c r="K24" s="34"/>
      <c r="L24" s="90">
        <f t="shared" si="0"/>
        <v>3106.9300000000003</v>
      </c>
      <c r="M24" s="35"/>
      <c r="N24" s="141">
        <f t="shared" si="1"/>
        <v>85375.09</v>
      </c>
    </row>
    <row r="25" spans="1:14" ht="12.75">
      <c r="A25" s="183">
        <v>4478664</v>
      </c>
      <c r="B25" s="46" t="s">
        <v>20</v>
      </c>
      <c r="C25" s="46" t="s">
        <v>29</v>
      </c>
      <c r="D25" s="83">
        <v>53000</v>
      </c>
      <c r="E25" s="77">
        <v>30925.29</v>
      </c>
      <c r="F25" s="85">
        <v>3.4</v>
      </c>
      <c r="G25" s="86">
        <v>2006</v>
      </c>
      <c r="H25" s="86">
        <v>2026</v>
      </c>
      <c r="I25" s="89">
        <v>3673.96</v>
      </c>
      <c r="J25" s="90">
        <v>2644.79</v>
      </c>
      <c r="K25" s="34"/>
      <c r="L25" s="90">
        <f t="shared" si="0"/>
        <v>1029.17</v>
      </c>
      <c r="M25" s="35"/>
      <c r="N25" s="141">
        <f t="shared" si="1"/>
        <v>28280.5</v>
      </c>
    </row>
    <row r="26" spans="1:14" ht="12.75">
      <c r="A26" s="222" t="s">
        <v>76</v>
      </c>
      <c r="B26" s="46" t="s">
        <v>20</v>
      </c>
      <c r="C26" s="46" t="s">
        <v>73</v>
      </c>
      <c r="D26" s="83">
        <v>100000</v>
      </c>
      <c r="E26" s="55">
        <v>59111.65</v>
      </c>
      <c r="F26" s="85">
        <v>3.72</v>
      </c>
      <c r="G26" s="86">
        <v>2006</v>
      </c>
      <c r="H26" s="86">
        <v>2025</v>
      </c>
      <c r="I26" s="89">
        <v>7132.84</v>
      </c>
      <c r="J26" s="90">
        <v>4979.77</v>
      </c>
      <c r="K26" s="34">
        <v>3030</v>
      </c>
      <c r="L26" s="90">
        <f t="shared" si="0"/>
        <v>2153.0699999999997</v>
      </c>
      <c r="M26" s="35">
        <v>760</v>
      </c>
      <c r="N26" s="141">
        <f t="shared" si="1"/>
        <v>54131.880000000005</v>
      </c>
    </row>
    <row r="27" spans="1:15" s="249" customFormat="1" ht="12.75">
      <c r="A27" s="222" t="s">
        <v>104</v>
      </c>
      <c r="B27" s="46" t="s">
        <v>20</v>
      </c>
      <c r="C27" s="46" t="s">
        <v>78</v>
      </c>
      <c r="D27" s="83">
        <v>120000</v>
      </c>
      <c r="E27" s="55">
        <v>94050.13</v>
      </c>
      <c r="F27" s="85">
        <v>4.32</v>
      </c>
      <c r="G27" s="86">
        <v>2010</v>
      </c>
      <c r="H27" s="86">
        <v>2029</v>
      </c>
      <c r="I27" s="89">
        <v>9027.68</v>
      </c>
      <c r="J27" s="90">
        <v>5010.82</v>
      </c>
      <c r="K27" s="34"/>
      <c r="L27" s="90">
        <f t="shared" si="0"/>
        <v>4016.8600000000006</v>
      </c>
      <c r="M27" s="35"/>
      <c r="N27" s="141">
        <f t="shared" si="1"/>
        <v>89039.31</v>
      </c>
      <c r="O27" s="2"/>
    </row>
    <row r="28" spans="1:15" s="249" customFormat="1" ht="21">
      <c r="A28" s="222" t="s">
        <v>103</v>
      </c>
      <c r="B28" s="82" t="s">
        <v>20</v>
      </c>
      <c r="C28" s="271" t="s">
        <v>107</v>
      </c>
      <c r="D28" s="83">
        <v>90000</v>
      </c>
      <c r="E28" s="77">
        <v>70506.01</v>
      </c>
      <c r="F28" s="85">
        <v>4.3</v>
      </c>
      <c r="G28" s="86">
        <v>2010</v>
      </c>
      <c r="H28" s="86">
        <v>2029</v>
      </c>
      <c r="I28" s="89">
        <v>6759.04</v>
      </c>
      <c r="J28" s="157">
        <v>3761.72</v>
      </c>
      <c r="K28" s="65"/>
      <c r="L28" s="108">
        <f t="shared" si="0"/>
        <v>2997.32</v>
      </c>
      <c r="M28" s="66"/>
      <c r="N28" s="141">
        <f t="shared" si="1"/>
        <v>66744.29</v>
      </c>
      <c r="O28" s="2"/>
    </row>
    <row r="29" spans="1:14" s="249" customFormat="1" ht="21">
      <c r="A29" s="222" t="s">
        <v>117</v>
      </c>
      <c r="B29" s="82" t="s">
        <v>20</v>
      </c>
      <c r="C29" s="271" t="s">
        <v>108</v>
      </c>
      <c r="D29" s="83">
        <v>152925</v>
      </c>
      <c r="E29" s="77">
        <v>125924.23</v>
      </c>
      <c r="F29" s="85">
        <v>4.43</v>
      </c>
      <c r="G29" s="86">
        <v>2011</v>
      </c>
      <c r="H29" s="86">
        <v>2029</v>
      </c>
      <c r="I29" s="89">
        <v>11483.74</v>
      </c>
      <c r="J29" s="157">
        <v>6125.44</v>
      </c>
      <c r="K29" s="65"/>
      <c r="L29" s="108">
        <f t="shared" si="0"/>
        <v>5358.3</v>
      </c>
      <c r="M29" s="66"/>
      <c r="N29" s="652">
        <f t="shared" si="1"/>
        <v>119798.79</v>
      </c>
    </row>
    <row r="30" spans="1:14" s="249" customFormat="1" ht="13.5" thickBot="1">
      <c r="A30" s="285">
        <v>4555218</v>
      </c>
      <c r="B30" s="286" t="s">
        <v>20</v>
      </c>
      <c r="C30" s="286" t="s">
        <v>109</v>
      </c>
      <c r="D30" s="287">
        <v>67572.27</v>
      </c>
      <c r="E30" s="288">
        <v>59988.44</v>
      </c>
      <c r="F30" s="289">
        <v>6.51</v>
      </c>
      <c r="G30" s="290">
        <v>2012</v>
      </c>
      <c r="H30" s="290">
        <v>2031</v>
      </c>
      <c r="I30" s="291">
        <v>6092.5</v>
      </c>
      <c r="J30" s="292">
        <v>2219.84</v>
      </c>
      <c r="K30" s="282"/>
      <c r="L30" s="292">
        <f>I30-J30</f>
        <v>3872.66</v>
      </c>
      <c r="M30" s="653"/>
      <c r="N30" s="288">
        <f>E30-J30</f>
        <v>57768.600000000006</v>
      </c>
    </row>
    <row r="31" spans="1:14" ht="13.5" thickBot="1">
      <c r="A31" s="145"/>
      <c r="B31" s="98"/>
      <c r="C31" s="98"/>
      <c r="D31" s="99"/>
      <c r="E31" s="232" t="s">
        <v>42</v>
      </c>
      <c r="F31" s="101"/>
      <c r="G31" s="102"/>
      <c r="H31" s="103" t="s">
        <v>43</v>
      </c>
      <c r="I31" s="104">
        <f>SUM(I21:I30)</f>
        <v>80232.88</v>
      </c>
      <c r="J31" s="100">
        <f>SUM(J21:J30)</f>
        <v>54045.61</v>
      </c>
      <c r="K31" s="224"/>
      <c r="L31" s="106">
        <f t="shared" si="0"/>
        <v>26187.270000000004</v>
      </c>
      <c r="M31" s="224"/>
      <c r="N31" s="169">
        <f>SUM(N21:N30)</f>
        <v>547489.08</v>
      </c>
    </row>
    <row r="32" spans="1:14" ht="12.75">
      <c r="A32" s="151" t="s">
        <v>32</v>
      </c>
      <c r="B32" s="91" t="s">
        <v>20</v>
      </c>
      <c r="C32" s="91" t="s">
        <v>33</v>
      </c>
      <c r="D32" s="92">
        <v>13180.75</v>
      </c>
      <c r="E32" s="76">
        <v>2212.08</v>
      </c>
      <c r="F32" s="93">
        <v>6.5</v>
      </c>
      <c r="G32" s="94">
        <v>1998</v>
      </c>
      <c r="H32" s="94">
        <v>2017</v>
      </c>
      <c r="I32" s="95">
        <v>1197.32</v>
      </c>
      <c r="J32" s="109">
        <v>1070.66</v>
      </c>
      <c r="K32" s="34"/>
      <c r="L32" s="109">
        <f t="shared" si="0"/>
        <v>126.65999999999985</v>
      </c>
      <c r="M32" s="35"/>
      <c r="N32" s="148">
        <f t="shared" si="1"/>
        <v>1141.4199999999998</v>
      </c>
    </row>
    <row r="33" spans="1:14" ht="12.75">
      <c r="A33" s="140">
        <v>4317937</v>
      </c>
      <c r="B33" s="46" t="s">
        <v>20</v>
      </c>
      <c r="C33" s="46" t="s">
        <v>33</v>
      </c>
      <c r="D33" s="47">
        <v>90110.63</v>
      </c>
      <c r="E33" s="76">
        <v>15122.77</v>
      </c>
      <c r="F33" s="48">
        <v>6.5</v>
      </c>
      <c r="G33" s="49">
        <v>1998</v>
      </c>
      <c r="H33" s="49">
        <v>2017</v>
      </c>
      <c r="I33" s="50">
        <v>8185.58</v>
      </c>
      <c r="J33" s="15">
        <v>7319.64</v>
      </c>
      <c r="K33" s="34"/>
      <c r="L33" s="15">
        <f t="shared" si="0"/>
        <v>865.9399999999996</v>
      </c>
      <c r="M33" s="35"/>
      <c r="N33" s="141">
        <f t="shared" si="1"/>
        <v>7803.13</v>
      </c>
    </row>
    <row r="34" spans="1:14" ht="12.75">
      <c r="A34" s="142" t="s">
        <v>34</v>
      </c>
      <c r="B34" s="46" t="s">
        <v>20</v>
      </c>
      <c r="C34" s="46" t="s">
        <v>33</v>
      </c>
      <c r="D34" s="47">
        <v>51645.69</v>
      </c>
      <c r="E34" s="76">
        <v>8667.32</v>
      </c>
      <c r="F34" s="48">
        <v>6.5</v>
      </c>
      <c r="G34" s="49">
        <v>1998</v>
      </c>
      <c r="H34" s="49">
        <v>2017</v>
      </c>
      <c r="I34" s="50">
        <v>4691.46</v>
      </c>
      <c r="J34" s="15">
        <v>4195.16</v>
      </c>
      <c r="K34" s="34"/>
      <c r="L34" s="15">
        <f t="shared" si="0"/>
        <v>496.3000000000002</v>
      </c>
      <c r="M34" s="35"/>
      <c r="N34" s="141">
        <f t="shared" si="1"/>
        <v>4472.16</v>
      </c>
    </row>
    <row r="35" spans="1:14" ht="13.5" thickBot="1">
      <c r="A35" s="140">
        <v>4297902</v>
      </c>
      <c r="B35" s="46" t="s">
        <v>20</v>
      </c>
      <c r="C35" s="46" t="s">
        <v>33</v>
      </c>
      <c r="D35" s="47">
        <v>51645.69</v>
      </c>
      <c r="E35" s="76">
        <v>4513.13</v>
      </c>
      <c r="F35" s="48">
        <v>6.5</v>
      </c>
      <c r="G35" s="49">
        <v>1997</v>
      </c>
      <c r="H35" s="49">
        <v>2016</v>
      </c>
      <c r="I35" s="50">
        <v>4734.24</v>
      </c>
      <c r="J35" s="15">
        <v>4513.13</v>
      </c>
      <c r="K35" s="34">
        <v>3030</v>
      </c>
      <c r="L35" s="15">
        <f t="shared" si="0"/>
        <v>221.10999999999967</v>
      </c>
      <c r="M35" s="35">
        <v>820</v>
      </c>
      <c r="N35" s="141">
        <f t="shared" si="1"/>
        <v>0</v>
      </c>
    </row>
    <row r="36" spans="1:14" ht="13.5" thickBot="1">
      <c r="A36" s="145"/>
      <c r="B36" s="98"/>
      <c r="C36" s="98"/>
      <c r="D36" s="99"/>
      <c r="E36" s="100" t="s">
        <v>42</v>
      </c>
      <c r="F36" s="101"/>
      <c r="G36" s="102"/>
      <c r="H36" s="103" t="s">
        <v>43</v>
      </c>
      <c r="I36" s="104">
        <f>SUM(I32:I35)</f>
        <v>18808.6</v>
      </c>
      <c r="J36" s="100">
        <f>SUM(J32:J35)</f>
        <v>17098.59</v>
      </c>
      <c r="K36" s="224"/>
      <c r="L36" s="106">
        <f t="shared" si="0"/>
        <v>1710.0099999999984</v>
      </c>
      <c r="M36" s="224"/>
      <c r="N36" s="169">
        <f>SUM(N32:N35)</f>
        <v>13416.71</v>
      </c>
    </row>
    <row r="37" spans="1:14" ht="12.75">
      <c r="A37" s="147">
        <v>4444717</v>
      </c>
      <c r="B37" s="91" t="s">
        <v>20</v>
      </c>
      <c r="C37" s="91" t="s">
        <v>38</v>
      </c>
      <c r="D37" s="92">
        <v>98000</v>
      </c>
      <c r="E37" s="76">
        <v>50387.88</v>
      </c>
      <c r="F37" s="93">
        <v>4.75</v>
      </c>
      <c r="G37" s="94">
        <v>2004</v>
      </c>
      <c r="H37" s="94">
        <v>2023</v>
      </c>
      <c r="I37" s="95">
        <v>7644.44</v>
      </c>
      <c r="J37" s="109">
        <v>5313.36</v>
      </c>
      <c r="K37" s="34"/>
      <c r="L37" s="109">
        <f t="shared" si="0"/>
        <v>2331.08</v>
      </c>
      <c r="M37" s="35"/>
      <c r="N37" s="148">
        <f t="shared" si="1"/>
        <v>45074.52</v>
      </c>
    </row>
    <row r="38" spans="1:14" ht="12.75">
      <c r="A38" s="140">
        <v>4388738</v>
      </c>
      <c r="B38" s="46" t="s">
        <v>20</v>
      </c>
      <c r="C38" s="46" t="s">
        <v>38</v>
      </c>
      <c r="D38" s="47">
        <v>103291.38</v>
      </c>
      <c r="E38" s="76">
        <v>43345.49</v>
      </c>
      <c r="F38" s="48">
        <v>5.5</v>
      </c>
      <c r="G38" s="49">
        <v>2002</v>
      </c>
      <c r="H38" s="49">
        <v>2021</v>
      </c>
      <c r="I38" s="50">
        <v>8579.7</v>
      </c>
      <c r="J38" s="15">
        <v>6280.89</v>
      </c>
      <c r="K38" s="34"/>
      <c r="L38" s="15">
        <f t="shared" si="0"/>
        <v>2298.8100000000004</v>
      </c>
      <c r="M38" s="35"/>
      <c r="N38" s="141">
        <f t="shared" si="1"/>
        <v>37064.6</v>
      </c>
    </row>
    <row r="39" spans="1:14" ht="12.75">
      <c r="A39" s="140">
        <v>4363583</v>
      </c>
      <c r="B39" s="46" t="s">
        <v>20</v>
      </c>
      <c r="C39" s="46" t="s">
        <v>38</v>
      </c>
      <c r="D39" s="47">
        <v>49982.94</v>
      </c>
      <c r="E39" s="76">
        <v>18153.97</v>
      </c>
      <c r="F39" s="48">
        <v>5.75</v>
      </c>
      <c r="G39" s="49">
        <v>2001</v>
      </c>
      <c r="H39" s="49">
        <v>2020</v>
      </c>
      <c r="I39" s="50">
        <v>4229.3</v>
      </c>
      <c r="J39" s="15">
        <v>3231.23</v>
      </c>
      <c r="K39" s="34">
        <v>3030</v>
      </c>
      <c r="L39" s="15">
        <f t="shared" si="0"/>
        <v>998.0700000000002</v>
      </c>
      <c r="M39" s="35">
        <v>910</v>
      </c>
      <c r="N39" s="141">
        <f t="shared" si="1"/>
        <v>14922.740000000002</v>
      </c>
    </row>
    <row r="40" spans="1:14" ht="12.75">
      <c r="A40" s="143">
        <v>4317938</v>
      </c>
      <c r="B40" s="82" t="s">
        <v>20</v>
      </c>
      <c r="C40" s="82" t="s">
        <v>38</v>
      </c>
      <c r="D40" s="83">
        <v>50396.44</v>
      </c>
      <c r="E40" s="76">
        <v>8433.24</v>
      </c>
      <c r="F40" s="85">
        <v>6.5</v>
      </c>
      <c r="G40" s="86">
        <v>1998</v>
      </c>
      <c r="H40" s="86">
        <v>2017</v>
      </c>
      <c r="I40" s="89">
        <v>4564.72</v>
      </c>
      <c r="J40" s="90">
        <v>4081.82</v>
      </c>
      <c r="K40" s="34" t="s">
        <v>42</v>
      </c>
      <c r="L40" s="90">
        <f>I40-J40</f>
        <v>482.9000000000001</v>
      </c>
      <c r="M40" s="35" t="s">
        <v>42</v>
      </c>
      <c r="N40" s="144">
        <f>E40-J40</f>
        <v>4351.42</v>
      </c>
    </row>
    <row r="41" spans="1:14" ht="13.5" thickBot="1">
      <c r="A41" s="222" t="s">
        <v>94</v>
      </c>
      <c r="B41" s="46" t="s">
        <v>20</v>
      </c>
      <c r="C41" s="46" t="s">
        <v>85</v>
      </c>
      <c r="D41" s="83">
        <v>130000</v>
      </c>
      <c r="E41" s="84">
        <v>96616.48</v>
      </c>
      <c r="F41" s="85">
        <v>4.39</v>
      </c>
      <c r="G41" s="86">
        <v>2008</v>
      </c>
      <c r="H41" s="86">
        <v>2028</v>
      </c>
      <c r="I41" s="89">
        <v>9832.52</v>
      </c>
      <c r="J41" s="90">
        <v>5652.42</v>
      </c>
      <c r="K41" s="34"/>
      <c r="L41" s="90">
        <f>I41-J41</f>
        <v>4180.1</v>
      </c>
      <c r="M41" s="35"/>
      <c r="N41" s="141">
        <f>E41-J41</f>
        <v>90964.06</v>
      </c>
    </row>
    <row r="42" spans="1:14" ht="13.5" thickBot="1">
      <c r="A42" s="152"/>
      <c r="B42" s="98"/>
      <c r="C42" s="98"/>
      <c r="D42" s="99"/>
      <c r="E42" s="100" t="s">
        <v>42</v>
      </c>
      <c r="F42" s="101"/>
      <c r="G42" s="102"/>
      <c r="H42" s="103" t="s">
        <v>43</v>
      </c>
      <c r="I42" s="104">
        <f>SUM(I37:I41)</f>
        <v>34850.68</v>
      </c>
      <c r="J42" s="100">
        <f>SUM(J37:J41)</f>
        <v>24559.72</v>
      </c>
      <c r="K42" s="224"/>
      <c r="L42" s="100">
        <f t="shared" si="0"/>
        <v>10290.96</v>
      </c>
      <c r="M42" s="224"/>
      <c r="N42" s="169">
        <f>SUM(N37:N41)</f>
        <v>192377.34</v>
      </c>
    </row>
    <row r="43" spans="1:14" ht="12.75">
      <c r="A43" s="147">
        <v>4284047</v>
      </c>
      <c r="B43" s="91" t="s">
        <v>20</v>
      </c>
      <c r="C43" s="91" t="s">
        <v>39</v>
      </c>
      <c r="D43" s="92">
        <v>77468.53</v>
      </c>
      <c r="E43" s="76">
        <v>6798.79</v>
      </c>
      <c r="F43" s="93">
        <v>6.5</v>
      </c>
      <c r="G43" s="94">
        <v>1997</v>
      </c>
      <c r="H43" s="94">
        <v>2016</v>
      </c>
      <c r="I43" s="95">
        <v>7132.02</v>
      </c>
      <c r="J43" s="109">
        <v>6798.79</v>
      </c>
      <c r="K43" s="34">
        <v>3030</v>
      </c>
      <c r="L43" s="109">
        <f t="shared" si="0"/>
        <v>333.2300000000005</v>
      </c>
      <c r="M43" s="35">
        <v>930</v>
      </c>
      <c r="N43" s="148">
        <f>E43-J43</f>
        <v>0</v>
      </c>
    </row>
    <row r="44" spans="1:14" s="237" customFormat="1" ht="31.5" thickBot="1">
      <c r="A44" s="222" t="s">
        <v>105</v>
      </c>
      <c r="B44" s="82" t="s">
        <v>20</v>
      </c>
      <c r="C44" s="272" t="s">
        <v>100</v>
      </c>
      <c r="D44" s="83">
        <v>50000</v>
      </c>
      <c r="E44" s="56">
        <v>39187.56</v>
      </c>
      <c r="F44" s="85">
        <v>4.32</v>
      </c>
      <c r="G44" s="86">
        <v>2010</v>
      </c>
      <c r="H44" s="86">
        <v>2029</v>
      </c>
      <c r="I44" s="89">
        <v>3761.52</v>
      </c>
      <c r="J44" s="157">
        <v>2087.84</v>
      </c>
      <c r="K44" s="65"/>
      <c r="L44" s="108">
        <f>I44-J44</f>
        <v>1673.6799999999998</v>
      </c>
      <c r="M44" s="66"/>
      <c r="N44" s="141">
        <f>E44-J44</f>
        <v>37099.72</v>
      </c>
    </row>
    <row r="45" spans="1:14" ht="13.5" thickBot="1">
      <c r="A45" s="145"/>
      <c r="B45" s="98"/>
      <c r="C45" s="98"/>
      <c r="D45" s="99"/>
      <c r="E45" s="100" t="s">
        <v>42</v>
      </c>
      <c r="F45" s="101"/>
      <c r="G45" s="102"/>
      <c r="H45" s="103" t="s">
        <v>43</v>
      </c>
      <c r="I45" s="163">
        <f>SUM(I43:I44)</f>
        <v>10893.54</v>
      </c>
      <c r="J45" s="162">
        <f>SUM(J43:J44)</f>
        <v>8886.630000000001</v>
      </c>
      <c r="K45" s="224"/>
      <c r="L45" s="106">
        <f t="shared" si="0"/>
        <v>2006.9099999999999</v>
      </c>
      <c r="M45" s="224"/>
      <c r="N45" s="169">
        <f>SUM(N43:N44)</f>
        <v>37099.72</v>
      </c>
    </row>
    <row r="46" spans="1:14" ht="13.5" customHeight="1" hidden="1" thickBot="1">
      <c r="A46" s="154"/>
      <c r="B46" s="12"/>
      <c r="C46" s="12"/>
      <c r="D46" s="3"/>
      <c r="E46" s="4"/>
      <c r="F46" s="13"/>
      <c r="G46" s="25"/>
      <c r="H46" s="25"/>
      <c r="I46" s="5"/>
      <c r="J46" s="4"/>
      <c r="K46" s="14"/>
      <c r="L46" s="109">
        <f t="shared" si="0"/>
        <v>0</v>
      </c>
      <c r="M46" s="66"/>
      <c r="N46" s="173">
        <f t="shared" si="1"/>
        <v>0</v>
      </c>
    </row>
    <row r="47" spans="1:14" ht="13.5" customHeight="1" hidden="1" thickBot="1">
      <c r="A47" s="154"/>
      <c r="B47" s="12"/>
      <c r="C47" s="12"/>
      <c r="D47" s="3"/>
      <c r="E47" s="4"/>
      <c r="F47" s="13"/>
      <c r="G47" s="25"/>
      <c r="H47" s="25"/>
      <c r="I47" s="5"/>
      <c r="J47" s="4"/>
      <c r="K47" s="14"/>
      <c r="L47" s="15">
        <f t="shared" si="0"/>
        <v>0</v>
      </c>
      <c r="M47" s="27"/>
      <c r="N47" s="173">
        <f t="shared" si="1"/>
        <v>0</v>
      </c>
    </row>
    <row r="48" spans="1:14" ht="13.5" customHeight="1" hidden="1" thickBot="1">
      <c r="A48" s="154"/>
      <c r="B48" s="12"/>
      <c r="C48" s="12"/>
      <c r="D48" s="3"/>
      <c r="E48" s="4"/>
      <c r="F48" s="13"/>
      <c r="G48" s="25"/>
      <c r="H48" s="25"/>
      <c r="I48" s="5"/>
      <c r="J48" s="4"/>
      <c r="K48" s="14"/>
      <c r="L48" s="15">
        <f t="shared" si="0"/>
        <v>0</v>
      </c>
      <c r="M48" s="27"/>
      <c r="N48" s="173">
        <f t="shared" si="1"/>
        <v>0</v>
      </c>
    </row>
    <row r="49" spans="1:14" ht="13.5" customHeight="1" hidden="1" thickBot="1">
      <c r="A49" s="154"/>
      <c r="B49" s="12"/>
      <c r="C49" s="12"/>
      <c r="D49" s="3"/>
      <c r="E49" s="4"/>
      <c r="F49" s="13"/>
      <c r="G49" s="25"/>
      <c r="H49" s="25"/>
      <c r="I49" s="5"/>
      <c r="J49" s="4"/>
      <c r="K49" s="14"/>
      <c r="L49" s="15">
        <f t="shared" si="0"/>
        <v>0</v>
      </c>
      <c r="M49" s="27"/>
      <c r="N49" s="173">
        <f t="shared" si="1"/>
        <v>0</v>
      </c>
    </row>
    <row r="50" spans="1:14" ht="13.5" customHeight="1" hidden="1" thickBot="1">
      <c r="A50" s="154"/>
      <c r="B50" s="12"/>
      <c r="C50" s="12"/>
      <c r="D50" s="3"/>
      <c r="E50" s="4"/>
      <c r="F50" s="13"/>
      <c r="G50" s="25"/>
      <c r="H50" s="25"/>
      <c r="I50" s="5"/>
      <c r="J50" s="4"/>
      <c r="K50" s="14"/>
      <c r="L50" s="15">
        <f t="shared" si="0"/>
        <v>0</v>
      </c>
      <c r="M50" s="27"/>
      <c r="N50" s="173">
        <f t="shared" si="1"/>
        <v>0</v>
      </c>
    </row>
    <row r="51" spans="1:14" ht="13.5" customHeight="1" hidden="1" thickBot="1">
      <c r="A51" s="154"/>
      <c r="B51" s="12"/>
      <c r="C51" s="12"/>
      <c r="D51" s="3"/>
      <c r="E51" s="4"/>
      <c r="F51" s="13"/>
      <c r="G51" s="25"/>
      <c r="H51" s="25"/>
      <c r="I51" s="5"/>
      <c r="J51" s="4"/>
      <c r="K51" s="14"/>
      <c r="L51" s="15">
        <f t="shared" si="0"/>
        <v>0</v>
      </c>
      <c r="M51" s="27"/>
      <c r="N51" s="173">
        <f t="shared" si="1"/>
        <v>0</v>
      </c>
    </row>
    <row r="52" spans="1:14" ht="13.5" customHeight="1" hidden="1" thickBot="1">
      <c r="A52" s="154"/>
      <c r="B52" s="12"/>
      <c r="C52" s="12"/>
      <c r="D52" s="3"/>
      <c r="E52" s="4"/>
      <c r="F52" s="13"/>
      <c r="G52" s="25"/>
      <c r="H52" s="25"/>
      <c r="I52" s="5"/>
      <c r="J52" s="4"/>
      <c r="K52" s="14"/>
      <c r="L52" s="15">
        <f t="shared" si="0"/>
        <v>0</v>
      </c>
      <c r="M52" s="27"/>
      <c r="N52" s="173">
        <f t="shared" si="1"/>
        <v>0</v>
      </c>
    </row>
    <row r="53" spans="1:14" ht="13.5" customHeight="1" hidden="1" thickBot="1">
      <c r="A53" s="154"/>
      <c r="B53" s="12"/>
      <c r="C53" s="12"/>
      <c r="D53" s="3"/>
      <c r="E53" s="4"/>
      <c r="F53" s="13"/>
      <c r="G53" s="25"/>
      <c r="H53" s="25"/>
      <c r="I53" s="5"/>
      <c r="J53" s="4"/>
      <c r="K53" s="14"/>
      <c r="L53" s="15">
        <f t="shared" si="0"/>
        <v>0</v>
      </c>
      <c r="M53" s="27"/>
      <c r="N53" s="173">
        <f t="shared" si="1"/>
        <v>0</v>
      </c>
    </row>
    <row r="54" spans="1:14" ht="13.5" customHeight="1" hidden="1" thickBot="1">
      <c r="A54" s="154"/>
      <c r="B54" s="12"/>
      <c r="C54" s="12"/>
      <c r="D54" s="3"/>
      <c r="E54" s="4"/>
      <c r="F54" s="13"/>
      <c r="G54" s="25"/>
      <c r="H54" s="25"/>
      <c r="I54" s="5"/>
      <c r="J54" s="4"/>
      <c r="K54" s="14"/>
      <c r="L54" s="15">
        <f t="shared" si="0"/>
        <v>0</v>
      </c>
      <c r="M54" s="27"/>
      <c r="N54" s="173">
        <f t="shared" si="1"/>
        <v>0</v>
      </c>
    </row>
    <row r="55" spans="1:14" ht="13.5" customHeight="1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5">
        <f t="shared" si="0"/>
        <v>0</v>
      </c>
      <c r="M55" s="27"/>
      <c r="N55" s="173">
        <f t="shared" si="1"/>
        <v>0</v>
      </c>
    </row>
    <row r="56" spans="1:14" ht="13.5" customHeight="1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customHeight="1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customHeight="1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customHeight="1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customHeight="1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customHeight="1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customHeight="1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customHeight="1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customHeight="1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aca="true" t="shared" si="2" ref="L64:L74">I64-J64</f>
        <v>0</v>
      </c>
      <c r="M64" s="27"/>
      <c r="N64" s="173">
        <f aca="true" t="shared" si="3" ref="N64:N74">E64-J64</f>
        <v>0</v>
      </c>
    </row>
    <row r="65" spans="1:14" ht="13.5" customHeight="1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2"/>
        <v>0</v>
      </c>
      <c r="M65" s="27"/>
      <c r="N65" s="173">
        <f t="shared" si="3"/>
        <v>0</v>
      </c>
    </row>
    <row r="66" spans="1:14" ht="13.5" customHeight="1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2"/>
        <v>0</v>
      </c>
      <c r="M66" s="27"/>
      <c r="N66" s="173">
        <f t="shared" si="3"/>
        <v>0</v>
      </c>
    </row>
    <row r="67" spans="1:14" ht="13.5" customHeight="1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2"/>
        <v>0</v>
      </c>
      <c r="M67" s="27"/>
      <c r="N67" s="173">
        <f t="shared" si="3"/>
        <v>0</v>
      </c>
    </row>
    <row r="68" spans="1:14" ht="13.5" customHeight="1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2"/>
        <v>0</v>
      </c>
      <c r="M68" s="27"/>
      <c r="N68" s="173">
        <f t="shared" si="3"/>
        <v>0</v>
      </c>
    </row>
    <row r="69" spans="1:14" ht="13.5" customHeight="1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73">
        <f t="shared" si="3"/>
        <v>0</v>
      </c>
    </row>
    <row r="70" spans="1:14" ht="13.5" customHeight="1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3.5" customHeight="1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customHeight="1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customHeight="1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customHeight="1" hidden="1" thickBot="1">
      <c r="A74" s="155"/>
      <c r="B74" s="111"/>
      <c r="C74" s="111"/>
      <c r="D74" s="112"/>
      <c r="E74" s="126"/>
      <c r="F74" s="114"/>
      <c r="G74" s="115"/>
      <c r="H74" s="115"/>
      <c r="I74" s="116"/>
      <c r="J74" s="126"/>
      <c r="K74" s="127"/>
      <c r="L74" s="90">
        <f t="shared" si="2"/>
        <v>0</v>
      </c>
      <c r="M74" s="27"/>
      <c r="N74" s="170">
        <f t="shared" si="3"/>
        <v>0</v>
      </c>
    </row>
    <row r="75" spans="1:14" ht="14.25" thickBot="1" thickTop="1">
      <c r="A75" s="128"/>
      <c r="B75" s="129"/>
      <c r="C75" s="130" t="s">
        <v>8</v>
      </c>
      <c r="D75" s="131">
        <f>SUM(D3:D74)</f>
        <v>3520976.2199999997</v>
      </c>
      <c r="E75" s="132">
        <f>SUM(E3:E74)</f>
        <v>1673576.24</v>
      </c>
      <c r="F75" s="133"/>
      <c r="G75" s="133"/>
      <c r="H75" s="133"/>
      <c r="I75" s="134">
        <f>+I12+I17+I20+I31+I36+I42+I45</f>
        <v>282551.37</v>
      </c>
      <c r="J75" s="134">
        <f>+J12+J17+J20+J31+J36+J42+J45</f>
        <v>203758.38</v>
      </c>
      <c r="K75" s="133"/>
      <c r="L75" s="134">
        <f>+L12+L17+L20+L31+L36+L42+L45</f>
        <v>78792.99000000002</v>
      </c>
      <c r="M75" s="135"/>
      <c r="N75" s="136">
        <f>+N12+N17+N20+N31+N36+N42+N45</f>
        <v>1469817.8599999999</v>
      </c>
    </row>
    <row r="76" ht="13.5" thickTop="1"/>
    <row r="78" ht="12.75">
      <c r="A78" s="2" t="s">
        <v>42</v>
      </c>
    </row>
    <row r="79" ht="12.75">
      <c r="J79" s="295"/>
    </row>
    <row r="80" ht="12.75">
      <c r="J80" s="296"/>
    </row>
  </sheetData>
  <sheetProtection/>
  <mergeCells count="1">
    <mergeCell ref="A1:N1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zoomScale="105" zoomScaleNormal="105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7109375" style="2" customWidth="1"/>
    <col min="4" max="5" width="12.00390625" style="2" customWidth="1"/>
    <col min="6" max="8" width="9.140625" style="2" customWidth="1"/>
    <col min="9" max="9" width="10.7109375" style="2" customWidth="1"/>
    <col min="10" max="10" width="11.851562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140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141</v>
      </c>
      <c r="F2" s="138" t="s">
        <v>3</v>
      </c>
      <c r="G2" s="138" t="s">
        <v>4</v>
      </c>
      <c r="H2" s="138" t="s">
        <v>5</v>
      </c>
      <c r="I2" s="138" t="s">
        <v>142</v>
      </c>
      <c r="J2" s="138" t="s">
        <v>143</v>
      </c>
      <c r="K2" s="138" t="s">
        <v>6</v>
      </c>
      <c r="L2" s="138" t="s">
        <v>144</v>
      </c>
      <c r="M2" s="138" t="s">
        <v>6</v>
      </c>
      <c r="N2" s="138" t="s">
        <v>145</v>
      </c>
    </row>
    <row r="3" spans="1:15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v>190510.63</v>
      </c>
      <c r="F3" s="48">
        <v>4.8</v>
      </c>
      <c r="G3" s="49">
        <v>2004</v>
      </c>
      <c r="H3" s="49">
        <v>2023</v>
      </c>
      <c r="I3" s="50">
        <v>32365.92</v>
      </c>
      <c r="J3" s="15">
        <v>23500.07</v>
      </c>
      <c r="K3" s="34" t="s">
        <v>42</v>
      </c>
      <c r="L3" s="43">
        <f>I3-J3</f>
        <v>8865.849999999999</v>
      </c>
      <c r="M3" s="46" t="s">
        <v>42</v>
      </c>
      <c r="N3" s="651">
        <f>E3-J3</f>
        <v>167010.56</v>
      </c>
      <c r="O3" s="607"/>
    </row>
    <row r="4" spans="1:14" ht="12.75">
      <c r="A4" s="140">
        <v>4403430</v>
      </c>
      <c r="B4" s="46" t="s">
        <v>7</v>
      </c>
      <c r="C4" s="46" t="s">
        <v>15</v>
      </c>
      <c r="D4" s="47">
        <v>154937.07</v>
      </c>
      <c r="E4" s="55">
        <v>54807.41</v>
      </c>
      <c r="F4" s="48">
        <v>5.25</v>
      </c>
      <c r="G4" s="49">
        <v>2002.2021</v>
      </c>
      <c r="H4" s="49">
        <v>2021</v>
      </c>
      <c r="I4" s="50">
        <v>12605.48</v>
      </c>
      <c r="J4" s="15">
        <v>9855.78</v>
      </c>
      <c r="K4" s="34"/>
      <c r="L4" s="15">
        <f aca="true" t="shared" si="0" ref="L4:L63">I4-J4</f>
        <v>2749.699999999999</v>
      </c>
      <c r="M4" s="35"/>
      <c r="N4" s="141">
        <f aca="true" t="shared" si="1" ref="N4:N63">E4-J4</f>
        <v>44951.630000000005</v>
      </c>
    </row>
    <row r="5" spans="1:14" ht="12" customHeight="1">
      <c r="A5" s="140">
        <v>4370159</v>
      </c>
      <c r="B5" s="46" t="s">
        <v>7</v>
      </c>
      <c r="C5" s="46" t="s">
        <v>15</v>
      </c>
      <c r="D5" s="47">
        <v>103291.38</v>
      </c>
      <c r="E5" s="55">
        <v>30900.37</v>
      </c>
      <c r="F5" s="48">
        <v>5.75</v>
      </c>
      <c r="G5" s="49">
        <v>2001</v>
      </c>
      <c r="H5" s="49">
        <v>2020</v>
      </c>
      <c r="I5" s="50">
        <v>8757.58</v>
      </c>
      <c r="J5" s="15">
        <v>7081.15</v>
      </c>
      <c r="K5" s="34"/>
      <c r="L5" s="15">
        <f t="shared" si="0"/>
        <v>1676.4300000000003</v>
      </c>
      <c r="M5" s="35"/>
      <c r="N5" s="141">
        <f t="shared" si="1"/>
        <v>23819.22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v>23175.31</v>
      </c>
      <c r="F6" s="48">
        <v>5.75</v>
      </c>
      <c r="G6" s="49">
        <v>2001</v>
      </c>
      <c r="H6" s="49">
        <v>2020</v>
      </c>
      <c r="I6" s="50">
        <v>6568.18</v>
      </c>
      <c r="J6" s="15">
        <v>5310.86</v>
      </c>
      <c r="K6" s="34"/>
      <c r="L6" s="15">
        <f t="shared" si="0"/>
        <v>1257.3200000000006</v>
      </c>
      <c r="M6" s="35"/>
      <c r="N6" s="141">
        <f t="shared" si="1"/>
        <v>17864.45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v>26861.49</v>
      </c>
      <c r="F7" s="48">
        <v>0</v>
      </c>
      <c r="G7" s="49">
        <v>2000</v>
      </c>
      <c r="H7" s="49">
        <v>2019</v>
      </c>
      <c r="I7" s="50">
        <f>9753.84</f>
        <v>9753.84</v>
      </c>
      <c r="J7" s="15">
        <f>4476.92+4476.92</f>
        <v>8953.84</v>
      </c>
      <c r="K7" s="34">
        <v>3030</v>
      </c>
      <c r="L7" s="15">
        <f t="shared" si="0"/>
        <v>800</v>
      </c>
      <c r="M7" s="35">
        <v>283</v>
      </c>
      <c r="N7" s="141">
        <f t="shared" si="1"/>
        <v>17907.65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v>536.61</v>
      </c>
      <c r="F8" s="48">
        <v>6.5</v>
      </c>
      <c r="G8" s="49">
        <v>1998</v>
      </c>
      <c r="H8" s="49">
        <v>2017</v>
      </c>
      <c r="I8" s="50">
        <v>562.98</v>
      </c>
      <c r="J8" s="15">
        <v>536.61</v>
      </c>
      <c r="K8" s="34"/>
      <c r="L8" s="15">
        <f t="shared" si="0"/>
        <v>26.370000000000005</v>
      </c>
      <c r="M8" s="35"/>
      <c r="N8" s="141">
        <f t="shared" si="1"/>
        <v>0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v>12880.03</v>
      </c>
      <c r="F9" s="48">
        <v>6.5</v>
      </c>
      <c r="G9" s="49">
        <v>1998</v>
      </c>
      <c r="H9" s="49">
        <v>2017</v>
      </c>
      <c r="I9" s="50">
        <v>13511.4</v>
      </c>
      <c r="J9" s="15">
        <v>12880.03</v>
      </c>
      <c r="K9" s="34"/>
      <c r="L9" s="15">
        <f t="shared" si="0"/>
        <v>631.369999999999</v>
      </c>
      <c r="M9" s="35"/>
      <c r="N9" s="141">
        <f t="shared" si="1"/>
        <v>0</v>
      </c>
    </row>
    <row r="10" spans="1:14" ht="12.75">
      <c r="A10" s="222" t="s">
        <v>77</v>
      </c>
      <c r="B10" s="82" t="s">
        <v>7</v>
      </c>
      <c r="C10" s="82" t="s">
        <v>72</v>
      </c>
      <c r="D10" s="83">
        <v>80000</v>
      </c>
      <c r="E10" s="84">
        <v>43344.01</v>
      </c>
      <c r="F10" s="85">
        <v>3.72</v>
      </c>
      <c r="G10" s="86">
        <v>2006</v>
      </c>
      <c r="H10" s="86">
        <v>2025</v>
      </c>
      <c r="I10" s="89">
        <v>5716.4</v>
      </c>
      <c r="J10" s="90">
        <v>4133.62</v>
      </c>
      <c r="K10" s="34"/>
      <c r="L10" s="90">
        <f>I10-J10</f>
        <v>1582.7799999999997</v>
      </c>
      <c r="M10" s="35"/>
      <c r="N10" s="141">
        <f>E10-J10</f>
        <v>39210.39</v>
      </c>
    </row>
    <row r="11" spans="1:14" s="237" customFormat="1" ht="13.5" thickBot="1">
      <c r="A11" s="54" t="s">
        <v>102</v>
      </c>
      <c r="B11" s="46" t="s">
        <v>20</v>
      </c>
      <c r="C11" s="46" t="s">
        <v>92</v>
      </c>
      <c r="D11" s="47">
        <v>60000</v>
      </c>
      <c r="E11" s="77">
        <v>44904.72</v>
      </c>
      <c r="F11" s="48">
        <v>4.17</v>
      </c>
      <c r="G11" s="49">
        <v>2010</v>
      </c>
      <c r="H11" s="49">
        <v>2029</v>
      </c>
      <c r="I11" s="50">
        <v>4644.1</v>
      </c>
      <c r="J11" s="15">
        <v>2581.72</v>
      </c>
      <c r="K11" s="65"/>
      <c r="L11" s="90">
        <f>I11-J11</f>
        <v>2062.3800000000006</v>
      </c>
      <c r="M11" s="66"/>
      <c r="N11" s="141">
        <f>E11-J11</f>
        <v>42323</v>
      </c>
    </row>
    <row r="12" spans="1:14" ht="13.5" thickBot="1">
      <c r="A12" s="145"/>
      <c r="B12" s="98"/>
      <c r="C12" s="98"/>
      <c r="D12" s="99"/>
      <c r="E12" s="162" t="s">
        <v>42</v>
      </c>
      <c r="F12" s="101"/>
      <c r="G12" s="102"/>
      <c r="H12" s="103" t="s">
        <v>43</v>
      </c>
      <c r="I12" s="104">
        <f>SUM(I3:I11)</f>
        <v>94485.87999999999</v>
      </c>
      <c r="J12" s="100">
        <f>SUM(J3:J11)</f>
        <v>74833.68</v>
      </c>
      <c r="K12" s="223"/>
      <c r="L12" s="106">
        <f t="shared" si="0"/>
        <v>19652.199999999997</v>
      </c>
      <c r="M12" s="224"/>
      <c r="N12" s="146">
        <f>SUM(N3:N11)</f>
        <v>353086.9</v>
      </c>
    </row>
    <row r="13" spans="1:14" ht="12.75">
      <c r="A13" s="147">
        <v>4367661</v>
      </c>
      <c r="B13" s="91" t="s">
        <v>20</v>
      </c>
      <c r="C13" s="91" t="s">
        <v>21</v>
      </c>
      <c r="D13" s="92">
        <v>51645.69</v>
      </c>
      <c r="E13" s="77">
        <v>15450.17</v>
      </c>
      <c r="F13" s="93">
        <v>5.75</v>
      </c>
      <c r="G13" s="94">
        <v>2001</v>
      </c>
      <c r="H13" s="94">
        <v>2020</v>
      </c>
      <c r="I13" s="95">
        <v>4378.78</v>
      </c>
      <c r="J13" s="96">
        <v>3540.58</v>
      </c>
      <c r="K13" s="65"/>
      <c r="L13" s="97">
        <f t="shared" si="0"/>
        <v>838.1999999999998</v>
      </c>
      <c r="M13" s="66"/>
      <c r="N13" s="168">
        <f t="shared" si="1"/>
        <v>11909.59</v>
      </c>
    </row>
    <row r="14" spans="1:14" ht="12.75">
      <c r="A14" s="140">
        <v>4363580</v>
      </c>
      <c r="B14" s="46" t="s">
        <v>20</v>
      </c>
      <c r="C14" s="46" t="s">
        <v>22</v>
      </c>
      <c r="D14" s="47">
        <v>77468.53</v>
      </c>
      <c r="E14" s="77">
        <v>23175.31</v>
      </c>
      <c r="F14" s="48">
        <v>5.75</v>
      </c>
      <c r="G14" s="49">
        <v>2001</v>
      </c>
      <c r="H14" s="49">
        <v>2020</v>
      </c>
      <c r="I14" s="50">
        <v>6568.18</v>
      </c>
      <c r="J14" s="43">
        <v>5310.86</v>
      </c>
      <c r="K14" s="65"/>
      <c r="L14" s="42">
        <f t="shared" si="0"/>
        <v>1257.3200000000006</v>
      </c>
      <c r="M14" s="66"/>
      <c r="N14" s="141">
        <f t="shared" si="1"/>
        <v>17864.45</v>
      </c>
    </row>
    <row r="15" spans="1:14" ht="12.75">
      <c r="A15" s="142" t="s">
        <v>23</v>
      </c>
      <c r="B15" s="46" t="s">
        <v>20</v>
      </c>
      <c r="C15" s="46" t="s">
        <v>24</v>
      </c>
      <c r="D15" s="47">
        <v>55628.72</v>
      </c>
      <c r="E15" s="77">
        <v>8146.48</v>
      </c>
      <c r="F15" s="48">
        <v>4.85</v>
      </c>
      <c r="G15" s="49">
        <v>1999</v>
      </c>
      <c r="H15" s="49">
        <v>2018</v>
      </c>
      <c r="I15" s="50">
        <v>4323.16</v>
      </c>
      <c r="J15" s="43">
        <v>3975.68</v>
      </c>
      <c r="K15" s="65">
        <v>3030</v>
      </c>
      <c r="L15" s="42">
        <f t="shared" si="0"/>
        <v>347.48</v>
      </c>
      <c r="M15" s="66">
        <v>518</v>
      </c>
      <c r="N15" s="141">
        <f t="shared" si="1"/>
        <v>4170.799999999999</v>
      </c>
    </row>
    <row r="16" spans="1:14" s="237" customFormat="1" ht="13.5" thickBot="1">
      <c r="A16" s="143">
        <v>4555239</v>
      </c>
      <c r="B16" s="82" t="s">
        <v>20</v>
      </c>
      <c r="C16" s="82" t="s">
        <v>164</v>
      </c>
      <c r="D16" s="83">
        <v>127500</v>
      </c>
      <c r="E16" s="77">
        <v>109001.76</v>
      </c>
      <c r="F16" s="85">
        <v>6.51</v>
      </c>
      <c r="G16" s="86">
        <v>2012</v>
      </c>
      <c r="H16" s="86">
        <v>2031</v>
      </c>
      <c r="I16" s="89">
        <v>11495.76</v>
      </c>
      <c r="J16" s="157">
        <v>4465.87</v>
      </c>
      <c r="K16" s="65"/>
      <c r="L16" s="108">
        <f>I16-J16</f>
        <v>7029.89</v>
      </c>
      <c r="M16" s="66"/>
      <c r="N16" s="141">
        <f>E16-J16</f>
        <v>104535.89</v>
      </c>
    </row>
    <row r="17" spans="1:14" ht="13.5" thickBot="1">
      <c r="A17" s="145"/>
      <c r="B17" s="98"/>
      <c r="C17" s="98"/>
      <c r="D17" s="99"/>
      <c r="E17" s="110" t="s">
        <v>42</v>
      </c>
      <c r="F17" s="101"/>
      <c r="G17" s="102"/>
      <c r="H17" s="103" t="s">
        <v>43</v>
      </c>
      <c r="I17" s="104">
        <f>SUM(I13:I16)</f>
        <v>26765.879999999997</v>
      </c>
      <c r="J17" s="100">
        <f>SUM(J13:J16)</f>
        <v>17292.989999999998</v>
      </c>
      <c r="K17" s="223"/>
      <c r="L17" s="106">
        <f t="shared" si="0"/>
        <v>9472.89</v>
      </c>
      <c r="M17" s="224"/>
      <c r="N17" s="169">
        <f>SUM(N13:N16)</f>
        <v>138480.72999999998</v>
      </c>
    </row>
    <row r="18" spans="1:14" s="237" customFormat="1" ht="13.5" thickBot="1">
      <c r="A18" s="149">
        <v>4550239</v>
      </c>
      <c r="B18" s="111" t="s">
        <v>20</v>
      </c>
      <c r="C18" s="111" t="s">
        <v>93</v>
      </c>
      <c r="D18" s="112">
        <v>114950</v>
      </c>
      <c r="E18" s="113">
        <v>95740.71</v>
      </c>
      <c r="F18" s="114">
        <v>4.93</v>
      </c>
      <c r="G18" s="115">
        <v>2012</v>
      </c>
      <c r="H18" s="115">
        <v>2031</v>
      </c>
      <c r="I18" s="116">
        <v>9111.38</v>
      </c>
      <c r="J18" s="117">
        <v>4436.86</v>
      </c>
      <c r="K18" s="34">
        <v>3030</v>
      </c>
      <c r="L18" s="118">
        <f>I18-J18</f>
        <v>4674.5199999999995</v>
      </c>
      <c r="M18" s="66">
        <v>645</v>
      </c>
      <c r="N18" s="170">
        <f>E18-J18</f>
        <v>91303.85</v>
      </c>
    </row>
    <row r="19" spans="1:14" ht="13.5" thickBot="1">
      <c r="A19" s="145"/>
      <c r="B19" s="98"/>
      <c r="C19" s="98"/>
      <c r="D19" s="99"/>
      <c r="E19" s="100" t="s">
        <v>42</v>
      </c>
      <c r="F19" s="101"/>
      <c r="G19" s="103"/>
      <c r="H19" s="103" t="s">
        <v>43</v>
      </c>
      <c r="I19" s="104">
        <f>SUM(I18:I18)</f>
        <v>9111.38</v>
      </c>
      <c r="J19" s="100">
        <f>SUM(J18:J18)</f>
        <v>4436.86</v>
      </c>
      <c r="K19" s="224"/>
      <c r="L19" s="106">
        <f t="shared" si="0"/>
        <v>4674.5199999999995</v>
      </c>
      <c r="M19" s="224"/>
      <c r="N19" s="169">
        <f>SUM(N18:N18)</f>
        <v>91303.85</v>
      </c>
    </row>
    <row r="20" spans="1:14" ht="12.75">
      <c r="A20" s="151" t="s">
        <v>28</v>
      </c>
      <c r="B20" s="91" t="s">
        <v>20</v>
      </c>
      <c r="C20" s="91" t="s">
        <v>29</v>
      </c>
      <c r="D20" s="92">
        <v>17559.53</v>
      </c>
      <c r="E20" s="113">
        <v>5253.04</v>
      </c>
      <c r="F20" s="93">
        <v>5.75</v>
      </c>
      <c r="G20" s="94">
        <v>2001</v>
      </c>
      <c r="H20" s="94">
        <v>2020</v>
      </c>
      <c r="I20" s="95">
        <v>1488.78</v>
      </c>
      <c r="J20" s="109">
        <v>1203.8</v>
      </c>
      <c r="K20" s="34"/>
      <c r="L20" s="109">
        <f t="shared" si="0"/>
        <v>284.98</v>
      </c>
      <c r="M20" s="35"/>
      <c r="N20" s="150">
        <f t="shared" si="1"/>
        <v>4049.24</v>
      </c>
    </row>
    <row r="21" spans="1:14" ht="12.75">
      <c r="A21" s="140">
        <v>4364549</v>
      </c>
      <c r="B21" s="46" t="s">
        <v>20</v>
      </c>
      <c r="C21" s="46" t="s">
        <v>29</v>
      </c>
      <c r="D21" s="47">
        <v>137377.54</v>
      </c>
      <c r="E21" s="77">
        <v>41097.58</v>
      </c>
      <c r="F21" s="48">
        <v>5.75</v>
      </c>
      <c r="G21" s="49">
        <v>2001</v>
      </c>
      <c r="H21" s="49">
        <v>2020</v>
      </c>
      <c r="I21" s="50">
        <v>11647.56</v>
      </c>
      <c r="J21" s="15">
        <v>9417.92</v>
      </c>
      <c r="K21" s="34"/>
      <c r="L21" s="15">
        <f t="shared" si="0"/>
        <v>2229.6399999999994</v>
      </c>
      <c r="M21" s="35"/>
      <c r="N21" s="141">
        <f t="shared" si="1"/>
        <v>31679.660000000003</v>
      </c>
    </row>
    <row r="22" spans="1:14" ht="13.5" customHeight="1">
      <c r="A22" s="183">
        <v>4464738</v>
      </c>
      <c r="B22" s="46" t="s">
        <v>20</v>
      </c>
      <c r="C22" s="46" t="s">
        <v>29</v>
      </c>
      <c r="D22" s="83">
        <v>160000</v>
      </c>
      <c r="E22" s="77">
        <v>85375.09</v>
      </c>
      <c r="F22" s="85">
        <v>3.4</v>
      </c>
      <c r="G22" s="86">
        <v>2006</v>
      </c>
      <c r="H22" s="86">
        <v>2025</v>
      </c>
      <c r="I22" s="89">
        <v>11091.2</v>
      </c>
      <c r="J22" s="90">
        <v>8258.04</v>
      </c>
      <c r="K22" s="34"/>
      <c r="L22" s="90">
        <f t="shared" si="0"/>
        <v>2833.16</v>
      </c>
      <c r="M22" s="35"/>
      <c r="N22" s="141">
        <f t="shared" si="1"/>
        <v>77117.04999999999</v>
      </c>
    </row>
    <row r="23" spans="1:14" ht="12.75">
      <c r="A23" s="183">
        <v>4478664</v>
      </c>
      <c r="B23" s="46" t="s">
        <v>20</v>
      </c>
      <c r="C23" s="46" t="s">
        <v>29</v>
      </c>
      <c r="D23" s="83">
        <v>53000</v>
      </c>
      <c r="E23" s="77">
        <v>28280.5</v>
      </c>
      <c r="F23" s="85">
        <v>3.4</v>
      </c>
      <c r="G23" s="86">
        <v>2006</v>
      </c>
      <c r="H23" s="86">
        <v>2026</v>
      </c>
      <c r="I23" s="89">
        <v>3673.96</v>
      </c>
      <c r="J23" s="90">
        <v>2735.48</v>
      </c>
      <c r="K23" s="34"/>
      <c r="L23" s="90">
        <f t="shared" si="0"/>
        <v>938.48</v>
      </c>
      <c r="M23" s="35"/>
      <c r="N23" s="141">
        <f t="shared" si="1"/>
        <v>25545.02</v>
      </c>
    </row>
    <row r="24" spans="1:14" ht="12.75">
      <c r="A24" s="222" t="s">
        <v>76</v>
      </c>
      <c r="B24" s="46" t="s">
        <v>20</v>
      </c>
      <c r="C24" s="46" t="s">
        <v>73</v>
      </c>
      <c r="D24" s="83">
        <v>100000</v>
      </c>
      <c r="E24" s="55">
        <v>54131.88</v>
      </c>
      <c r="F24" s="85">
        <v>3.72</v>
      </c>
      <c r="G24" s="86">
        <v>2006</v>
      </c>
      <c r="H24" s="86">
        <v>2025</v>
      </c>
      <c r="I24" s="89">
        <v>7132.84</v>
      </c>
      <c r="J24" s="90">
        <v>5166.74</v>
      </c>
      <c r="K24" s="34"/>
      <c r="L24" s="90">
        <f t="shared" si="0"/>
        <v>1966.1000000000004</v>
      </c>
      <c r="M24" s="35"/>
      <c r="N24" s="141">
        <f t="shared" si="1"/>
        <v>48965.14</v>
      </c>
    </row>
    <row r="25" spans="1:15" s="249" customFormat="1" ht="12.75">
      <c r="A25" s="222" t="s">
        <v>104</v>
      </c>
      <c r="B25" s="46" t="s">
        <v>20</v>
      </c>
      <c r="C25" s="46" t="s">
        <v>78</v>
      </c>
      <c r="D25" s="83">
        <v>120000</v>
      </c>
      <c r="E25" s="55">
        <v>89039.31</v>
      </c>
      <c r="F25" s="85">
        <v>4.32</v>
      </c>
      <c r="G25" s="86">
        <v>2010</v>
      </c>
      <c r="H25" s="86">
        <v>2029</v>
      </c>
      <c r="I25" s="89">
        <v>9027.68</v>
      </c>
      <c r="J25" s="90">
        <v>5230.04</v>
      </c>
      <c r="K25" s="34">
        <v>3030</v>
      </c>
      <c r="L25" s="90">
        <f t="shared" si="0"/>
        <v>3797.6400000000003</v>
      </c>
      <c r="M25" s="35">
        <v>760</v>
      </c>
      <c r="N25" s="141">
        <f t="shared" si="1"/>
        <v>83809.27</v>
      </c>
      <c r="O25" s="2"/>
    </row>
    <row r="26" spans="1:15" s="249" customFormat="1" ht="21">
      <c r="A26" s="222" t="s">
        <v>103</v>
      </c>
      <c r="B26" s="82" t="s">
        <v>20</v>
      </c>
      <c r="C26" s="271" t="s">
        <v>107</v>
      </c>
      <c r="D26" s="83">
        <v>90000</v>
      </c>
      <c r="E26" s="77">
        <v>66744.29</v>
      </c>
      <c r="F26" s="85">
        <v>4.3</v>
      </c>
      <c r="G26" s="86">
        <v>2010</v>
      </c>
      <c r="H26" s="86">
        <v>2029</v>
      </c>
      <c r="I26" s="89">
        <v>6759.04</v>
      </c>
      <c r="J26" s="157">
        <v>3925.53</v>
      </c>
      <c r="K26" s="65"/>
      <c r="L26" s="108">
        <f t="shared" si="0"/>
        <v>2833.5099999999998</v>
      </c>
      <c r="M26" s="66"/>
      <c r="N26" s="141">
        <f t="shared" si="1"/>
        <v>62818.759999999995</v>
      </c>
      <c r="O26" s="2"/>
    </row>
    <row r="27" spans="1:14" s="249" customFormat="1" ht="21">
      <c r="A27" s="222" t="s">
        <v>117</v>
      </c>
      <c r="B27" s="82" t="s">
        <v>20</v>
      </c>
      <c r="C27" s="271" t="s">
        <v>108</v>
      </c>
      <c r="D27" s="83">
        <v>152925</v>
      </c>
      <c r="E27" s="77">
        <v>119798.79</v>
      </c>
      <c r="F27" s="85">
        <v>4.43</v>
      </c>
      <c r="G27" s="86">
        <v>2011</v>
      </c>
      <c r="H27" s="86">
        <v>2029</v>
      </c>
      <c r="I27" s="89">
        <v>11483.74</v>
      </c>
      <c r="J27" s="157">
        <v>6392.11</v>
      </c>
      <c r="K27" s="65"/>
      <c r="L27" s="108">
        <f t="shared" si="0"/>
        <v>5091.63</v>
      </c>
      <c r="M27" s="66"/>
      <c r="N27" s="652">
        <f t="shared" si="1"/>
        <v>113406.68</v>
      </c>
    </row>
    <row r="28" spans="1:14" s="249" customFormat="1" ht="27.75" customHeight="1" thickBot="1">
      <c r="A28" s="285">
        <v>4555218</v>
      </c>
      <c r="B28" s="286" t="s">
        <v>20</v>
      </c>
      <c r="C28" s="797" t="s">
        <v>109</v>
      </c>
      <c r="D28" s="287">
        <v>67572.27</v>
      </c>
      <c r="E28" s="288">
        <v>57768.6</v>
      </c>
      <c r="F28" s="289">
        <v>6.51</v>
      </c>
      <c r="G28" s="290">
        <v>2012</v>
      </c>
      <c r="H28" s="290">
        <v>2031</v>
      </c>
      <c r="I28" s="291">
        <v>6092.5</v>
      </c>
      <c r="J28" s="292">
        <v>2366.81</v>
      </c>
      <c r="K28" s="282"/>
      <c r="L28" s="292">
        <f>I28-J28</f>
        <v>3725.69</v>
      </c>
      <c r="M28" s="653"/>
      <c r="N28" s="288">
        <f>E28-J28</f>
        <v>55401.79</v>
      </c>
    </row>
    <row r="29" spans="1:14" ht="13.5" thickBot="1">
      <c r="A29" s="145"/>
      <c r="B29" s="98"/>
      <c r="C29" s="98"/>
      <c r="D29" s="99"/>
      <c r="E29" s="232" t="s">
        <v>42</v>
      </c>
      <c r="F29" s="101"/>
      <c r="G29" s="102"/>
      <c r="H29" s="103" t="s">
        <v>43</v>
      </c>
      <c r="I29" s="104">
        <f>SUM(I20:I28)</f>
        <v>68397.29999999999</v>
      </c>
      <c r="J29" s="100">
        <f>SUM(J20:J28)</f>
        <v>44696.47</v>
      </c>
      <c r="K29" s="224"/>
      <c r="L29" s="106">
        <f t="shared" si="0"/>
        <v>23700.829999999987</v>
      </c>
      <c r="M29" s="224"/>
      <c r="N29" s="169">
        <f>SUM(N20:N28)</f>
        <v>502792.61</v>
      </c>
    </row>
    <row r="30" spans="1:14" ht="12.75">
      <c r="A30" s="151" t="s">
        <v>32</v>
      </c>
      <c r="B30" s="91" t="s">
        <v>20</v>
      </c>
      <c r="C30" s="91" t="s">
        <v>33</v>
      </c>
      <c r="D30" s="92">
        <v>13180.75</v>
      </c>
      <c r="E30" s="76">
        <v>1141.42</v>
      </c>
      <c r="F30" s="93">
        <v>6.5</v>
      </c>
      <c r="G30" s="94">
        <v>1998</v>
      </c>
      <c r="H30" s="94">
        <v>2017</v>
      </c>
      <c r="I30" s="95">
        <v>1197.32</v>
      </c>
      <c r="J30" s="109">
        <v>1141.42</v>
      </c>
      <c r="K30" s="34"/>
      <c r="L30" s="109">
        <f t="shared" si="0"/>
        <v>55.899999999999864</v>
      </c>
      <c r="M30" s="35"/>
      <c r="N30" s="148">
        <f t="shared" si="1"/>
        <v>0</v>
      </c>
    </row>
    <row r="31" spans="1:14" ht="12.75">
      <c r="A31" s="140">
        <v>4317937</v>
      </c>
      <c r="B31" s="46" t="s">
        <v>20</v>
      </c>
      <c r="C31" s="46" t="s">
        <v>33</v>
      </c>
      <c r="D31" s="47">
        <v>90110.63</v>
      </c>
      <c r="E31" s="76">
        <v>7803.13</v>
      </c>
      <c r="F31" s="48">
        <v>6.5</v>
      </c>
      <c r="G31" s="49">
        <v>1998</v>
      </c>
      <c r="H31" s="49">
        <v>2017</v>
      </c>
      <c r="I31" s="50">
        <v>8185.58</v>
      </c>
      <c r="J31" s="15">
        <v>7803.13</v>
      </c>
      <c r="K31" s="34">
        <v>3030</v>
      </c>
      <c r="L31" s="15">
        <f t="shared" si="0"/>
        <v>382.4499999999998</v>
      </c>
      <c r="M31" s="35">
        <v>820</v>
      </c>
      <c r="N31" s="141">
        <f t="shared" si="1"/>
        <v>0</v>
      </c>
    </row>
    <row r="32" spans="1:14" ht="13.5" thickBot="1">
      <c r="A32" s="142" t="s">
        <v>34</v>
      </c>
      <c r="B32" s="46" t="s">
        <v>20</v>
      </c>
      <c r="C32" s="46" t="s">
        <v>33</v>
      </c>
      <c r="D32" s="47">
        <v>51645.69</v>
      </c>
      <c r="E32" s="76">
        <v>4472.16</v>
      </c>
      <c r="F32" s="48">
        <v>6.5</v>
      </c>
      <c r="G32" s="49">
        <v>1998</v>
      </c>
      <c r="H32" s="49">
        <v>2017</v>
      </c>
      <c r="I32" s="50">
        <v>4691.46</v>
      </c>
      <c r="J32" s="15">
        <v>4472.16</v>
      </c>
      <c r="K32" s="34"/>
      <c r="L32" s="15">
        <f t="shared" si="0"/>
        <v>219.30000000000018</v>
      </c>
      <c r="M32" s="35"/>
      <c r="N32" s="141">
        <f t="shared" si="1"/>
        <v>0</v>
      </c>
    </row>
    <row r="33" spans="1:14" ht="13.5" thickBot="1">
      <c r="A33" s="145"/>
      <c r="B33" s="98"/>
      <c r="C33" s="98"/>
      <c r="D33" s="99"/>
      <c r="E33" s="100" t="s">
        <v>42</v>
      </c>
      <c r="F33" s="101"/>
      <c r="G33" s="102"/>
      <c r="H33" s="103" t="s">
        <v>43</v>
      </c>
      <c r="I33" s="104">
        <f>SUM(I30:I32)</f>
        <v>14074.36</v>
      </c>
      <c r="J33" s="100">
        <f>SUM(J30:J32)</f>
        <v>13416.71</v>
      </c>
      <c r="K33" s="224"/>
      <c r="L33" s="106">
        <f t="shared" si="0"/>
        <v>657.6500000000015</v>
      </c>
      <c r="M33" s="224"/>
      <c r="N33" s="169">
        <f>SUM(N30:N32)</f>
        <v>0</v>
      </c>
    </row>
    <row r="34" spans="1:14" ht="12.75">
      <c r="A34" s="147">
        <v>4444717</v>
      </c>
      <c r="B34" s="91" t="s">
        <v>20</v>
      </c>
      <c r="C34" s="91" t="s">
        <v>38</v>
      </c>
      <c r="D34" s="92">
        <v>98000</v>
      </c>
      <c r="E34" s="76">
        <v>45074.52</v>
      </c>
      <c r="F34" s="93">
        <v>4.75</v>
      </c>
      <c r="G34" s="94">
        <v>2004</v>
      </c>
      <c r="H34" s="94">
        <v>2023</v>
      </c>
      <c r="I34" s="95">
        <v>7644.44</v>
      </c>
      <c r="J34" s="109">
        <v>5568.75</v>
      </c>
      <c r="K34" s="34"/>
      <c r="L34" s="109">
        <f t="shared" si="0"/>
        <v>2075.6899999999996</v>
      </c>
      <c r="M34" s="35"/>
      <c r="N34" s="148">
        <f t="shared" si="1"/>
        <v>39505.77</v>
      </c>
    </row>
    <row r="35" spans="1:14" ht="12.75">
      <c r="A35" s="140">
        <v>4388738</v>
      </c>
      <c r="B35" s="46" t="s">
        <v>20</v>
      </c>
      <c r="C35" s="46" t="s">
        <v>38</v>
      </c>
      <c r="D35" s="47">
        <v>103291.38</v>
      </c>
      <c r="E35" s="76">
        <v>37064.6</v>
      </c>
      <c r="F35" s="48">
        <v>5.5</v>
      </c>
      <c r="G35" s="49">
        <v>2002</v>
      </c>
      <c r="H35" s="49">
        <v>2021</v>
      </c>
      <c r="I35" s="50">
        <v>8579.7</v>
      </c>
      <c r="J35" s="15">
        <v>6631.08</v>
      </c>
      <c r="K35" s="34"/>
      <c r="L35" s="15">
        <f t="shared" si="0"/>
        <v>1948.6200000000008</v>
      </c>
      <c r="M35" s="35"/>
      <c r="N35" s="141">
        <f t="shared" si="1"/>
        <v>30433.519999999997</v>
      </c>
    </row>
    <row r="36" spans="1:14" ht="12.75">
      <c r="A36" s="140">
        <v>4363583</v>
      </c>
      <c r="B36" s="46" t="s">
        <v>20</v>
      </c>
      <c r="C36" s="46" t="s">
        <v>38</v>
      </c>
      <c r="D36" s="47">
        <v>49982.94</v>
      </c>
      <c r="E36" s="76">
        <v>14922.74</v>
      </c>
      <c r="F36" s="48">
        <v>5.75</v>
      </c>
      <c r="G36" s="49">
        <v>2001</v>
      </c>
      <c r="H36" s="49">
        <v>2020</v>
      </c>
      <c r="I36" s="50">
        <v>4229.3</v>
      </c>
      <c r="J36" s="15">
        <v>3419.7</v>
      </c>
      <c r="K36" s="34">
        <v>3030</v>
      </c>
      <c r="L36" s="15">
        <f t="shared" si="0"/>
        <v>809.6000000000004</v>
      </c>
      <c r="M36" s="35">
        <v>910</v>
      </c>
      <c r="N36" s="141">
        <f t="shared" si="1"/>
        <v>11503.04</v>
      </c>
    </row>
    <row r="37" spans="1:14" ht="12.75">
      <c r="A37" s="143">
        <v>4317938</v>
      </c>
      <c r="B37" s="82" t="s">
        <v>20</v>
      </c>
      <c r="C37" s="82" t="s">
        <v>38</v>
      </c>
      <c r="D37" s="83">
        <v>50396.44</v>
      </c>
      <c r="E37" s="76">
        <v>4351.42</v>
      </c>
      <c r="F37" s="85">
        <v>6.5</v>
      </c>
      <c r="G37" s="86">
        <v>1998</v>
      </c>
      <c r="H37" s="86">
        <v>2017</v>
      </c>
      <c r="I37" s="89">
        <v>4564.72</v>
      </c>
      <c r="J37" s="90">
        <v>4351.42</v>
      </c>
      <c r="K37" s="34" t="s">
        <v>42</v>
      </c>
      <c r="L37" s="90">
        <f>I37-J37</f>
        <v>213.30000000000018</v>
      </c>
      <c r="M37" s="35" t="s">
        <v>42</v>
      </c>
      <c r="N37" s="144">
        <f>E37-J37</f>
        <v>0</v>
      </c>
    </row>
    <row r="38" spans="1:14" ht="13.5" thickBot="1">
      <c r="A38" s="222" t="s">
        <v>94</v>
      </c>
      <c r="B38" s="46" t="s">
        <v>20</v>
      </c>
      <c r="C38" s="46" t="s">
        <v>85</v>
      </c>
      <c r="D38" s="83">
        <v>130000</v>
      </c>
      <c r="E38" s="84">
        <v>90964.06</v>
      </c>
      <c r="F38" s="85">
        <v>4.39</v>
      </c>
      <c r="G38" s="86">
        <v>2008</v>
      </c>
      <c r="H38" s="86">
        <v>2028</v>
      </c>
      <c r="I38" s="89">
        <v>9832.52</v>
      </c>
      <c r="J38" s="90">
        <v>5903.29</v>
      </c>
      <c r="K38" s="34"/>
      <c r="L38" s="90">
        <f>I38-J38</f>
        <v>3929.2300000000005</v>
      </c>
      <c r="M38" s="35"/>
      <c r="N38" s="141">
        <f>E38-J38</f>
        <v>85060.77</v>
      </c>
    </row>
    <row r="39" spans="1:14" ht="13.5" thickBot="1">
      <c r="A39" s="152"/>
      <c r="B39" s="98"/>
      <c r="C39" s="98"/>
      <c r="D39" s="99"/>
      <c r="E39" s="100" t="s">
        <v>42</v>
      </c>
      <c r="F39" s="101"/>
      <c r="G39" s="102"/>
      <c r="H39" s="103" t="s">
        <v>43</v>
      </c>
      <c r="I39" s="104">
        <f>SUM(I34:I38)</f>
        <v>34850.68</v>
      </c>
      <c r="J39" s="100">
        <f>SUM(J34:J38)</f>
        <v>25874.239999999998</v>
      </c>
      <c r="K39" s="224"/>
      <c r="L39" s="100">
        <f t="shared" si="0"/>
        <v>8976.440000000002</v>
      </c>
      <c r="M39" s="224"/>
      <c r="N39" s="169">
        <f>SUM(N34:N38)</f>
        <v>166503.09999999998</v>
      </c>
    </row>
    <row r="40" spans="1:14" s="237" customFormat="1" ht="31.5" thickBot="1">
      <c r="A40" s="222" t="s">
        <v>105</v>
      </c>
      <c r="B40" s="82" t="s">
        <v>20</v>
      </c>
      <c r="C40" s="272" t="s">
        <v>100</v>
      </c>
      <c r="D40" s="83">
        <v>50000</v>
      </c>
      <c r="E40" s="56">
        <v>37099.72</v>
      </c>
      <c r="F40" s="85">
        <v>4.32</v>
      </c>
      <c r="G40" s="86">
        <v>2010</v>
      </c>
      <c r="H40" s="86">
        <v>2029</v>
      </c>
      <c r="I40" s="89">
        <v>3761.52</v>
      </c>
      <c r="J40" s="157">
        <v>2179.18</v>
      </c>
      <c r="K40" s="65">
        <v>3030</v>
      </c>
      <c r="L40" s="108">
        <f>I40-J40</f>
        <v>1582.3400000000001</v>
      </c>
      <c r="M40" s="66">
        <v>930</v>
      </c>
      <c r="N40" s="141">
        <f>E40-J40</f>
        <v>34920.54</v>
      </c>
    </row>
    <row r="41" spans="1:14" ht="13.5" thickBot="1">
      <c r="A41" s="145"/>
      <c r="B41" s="98"/>
      <c r="C41" s="98"/>
      <c r="D41" s="99"/>
      <c r="E41" s="100" t="s">
        <v>42</v>
      </c>
      <c r="F41" s="101"/>
      <c r="G41" s="102"/>
      <c r="H41" s="103" t="s">
        <v>43</v>
      </c>
      <c r="I41" s="163">
        <f>SUM(I40:I40)</f>
        <v>3761.52</v>
      </c>
      <c r="J41" s="162">
        <f>SUM(J40:J40)</f>
        <v>2179.18</v>
      </c>
      <c r="K41" s="224"/>
      <c r="L41" s="106">
        <f t="shared" si="0"/>
        <v>1582.3400000000001</v>
      </c>
      <c r="M41" s="224"/>
      <c r="N41" s="169">
        <f>SUM(N40:N40)</f>
        <v>34920.54</v>
      </c>
    </row>
    <row r="42" spans="1:14" ht="13.5" hidden="1" thickBot="1">
      <c r="A42" s="154"/>
      <c r="B42" s="12"/>
      <c r="C42" s="12"/>
      <c r="D42" s="3"/>
      <c r="E42" s="4"/>
      <c r="F42" s="13"/>
      <c r="G42" s="25"/>
      <c r="H42" s="25"/>
      <c r="I42" s="5"/>
      <c r="J42" s="4"/>
      <c r="K42" s="14"/>
      <c r="L42" s="109">
        <f t="shared" si="0"/>
        <v>0</v>
      </c>
      <c r="M42" s="66"/>
      <c r="N42" s="173">
        <f t="shared" si="1"/>
        <v>0</v>
      </c>
    </row>
    <row r="43" spans="1:14" ht="13.5" hidden="1" thickBot="1">
      <c r="A43" s="154"/>
      <c r="B43" s="12"/>
      <c r="C43" s="12"/>
      <c r="D43" s="3"/>
      <c r="E43" s="4"/>
      <c r="F43" s="13"/>
      <c r="G43" s="25"/>
      <c r="H43" s="25"/>
      <c r="I43" s="5"/>
      <c r="J43" s="4"/>
      <c r="K43" s="14"/>
      <c r="L43" s="15">
        <f t="shared" si="0"/>
        <v>0</v>
      </c>
      <c r="M43" s="27"/>
      <c r="N43" s="173">
        <f t="shared" si="1"/>
        <v>0</v>
      </c>
    </row>
    <row r="44" spans="1:14" ht="13.5" hidden="1" thickBot="1">
      <c r="A44" s="154"/>
      <c r="B44" s="12"/>
      <c r="C44" s="12"/>
      <c r="D44" s="3"/>
      <c r="E44" s="4"/>
      <c r="F44" s="13"/>
      <c r="G44" s="25"/>
      <c r="H44" s="25"/>
      <c r="I44" s="5"/>
      <c r="J44" s="4"/>
      <c r="K44" s="14"/>
      <c r="L44" s="15">
        <f t="shared" si="0"/>
        <v>0</v>
      </c>
      <c r="M44" s="27"/>
      <c r="N44" s="173">
        <f t="shared" si="1"/>
        <v>0</v>
      </c>
    </row>
    <row r="45" spans="1:14" ht="13.5" hidden="1" thickBot="1">
      <c r="A45" s="154"/>
      <c r="B45" s="12"/>
      <c r="C45" s="12"/>
      <c r="D45" s="3"/>
      <c r="E45" s="4"/>
      <c r="F45" s="13"/>
      <c r="G45" s="25"/>
      <c r="H45" s="25"/>
      <c r="I45" s="5"/>
      <c r="J45" s="4"/>
      <c r="K45" s="14"/>
      <c r="L45" s="15">
        <f t="shared" si="0"/>
        <v>0</v>
      </c>
      <c r="M45" s="27"/>
      <c r="N45" s="173">
        <f t="shared" si="1"/>
        <v>0</v>
      </c>
    </row>
    <row r="46" spans="1:14" ht="13.5" hidden="1" thickBot="1">
      <c r="A46" s="154"/>
      <c r="B46" s="12"/>
      <c r="C46" s="12"/>
      <c r="D46" s="3"/>
      <c r="E46" s="4"/>
      <c r="F46" s="13"/>
      <c r="G46" s="25"/>
      <c r="H46" s="25"/>
      <c r="I46" s="5"/>
      <c r="J46" s="4"/>
      <c r="K46" s="14"/>
      <c r="L46" s="15">
        <f t="shared" si="0"/>
        <v>0</v>
      </c>
      <c r="M46" s="27"/>
      <c r="N46" s="173">
        <f t="shared" si="1"/>
        <v>0</v>
      </c>
    </row>
    <row r="47" spans="1:14" ht="13.5" hidden="1" thickBot="1">
      <c r="A47" s="154"/>
      <c r="B47" s="12"/>
      <c r="C47" s="12"/>
      <c r="D47" s="3"/>
      <c r="E47" s="4"/>
      <c r="F47" s="13"/>
      <c r="G47" s="25"/>
      <c r="H47" s="25"/>
      <c r="I47" s="5"/>
      <c r="J47" s="4"/>
      <c r="K47" s="14"/>
      <c r="L47" s="15">
        <f t="shared" si="0"/>
        <v>0</v>
      </c>
      <c r="M47" s="27"/>
      <c r="N47" s="173">
        <f t="shared" si="1"/>
        <v>0</v>
      </c>
    </row>
    <row r="48" spans="1:14" ht="13.5" hidden="1" thickBot="1">
      <c r="A48" s="154"/>
      <c r="B48" s="12"/>
      <c r="C48" s="12"/>
      <c r="D48" s="3"/>
      <c r="E48" s="4"/>
      <c r="F48" s="13"/>
      <c r="G48" s="25"/>
      <c r="H48" s="25"/>
      <c r="I48" s="5"/>
      <c r="J48" s="4"/>
      <c r="K48" s="14"/>
      <c r="L48" s="15">
        <f t="shared" si="0"/>
        <v>0</v>
      </c>
      <c r="M48" s="27"/>
      <c r="N48" s="173">
        <f t="shared" si="1"/>
        <v>0</v>
      </c>
    </row>
    <row r="49" spans="1:14" ht="13.5" hidden="1" thickBot="1">
      <c r="A49" s="154"/>
      <c r="B49" s="12"/>
      <c r="C49" s="12"/>
      <c r="D49" s="3"/>
      <c r="E49" s="4"/>
      <c r="F49" s="13"/>
      <c r="G49" s="25"/>
      <c r="H49" s="25"/>
      <c r="I49" s="5"/>
      <c r="J49" s="4"/>
      <c r="K49" s="14"/>
      <c r="L49" s="15">
        <f t="shared" si="0"/>
        <v>0</v>
      </c>
      <c r="M49" s="27"/>
      <c r="N49" s="173">
        <f t="shared" si="1"/>
        <v>0</v>
      </c>
    </row>
    <row r="50" spans="1:14" ht="13.5" hidden="1" thickBot="1">
      <c r="A50" s="154"/>
      <c r="B50" s="12"/>
      <c r="C50" s="12"/>
      <c r="D50" s="3"/>
      <c r="E50" s="4"/>
      <c r="F50" s="13"/>
      <c r="G50" s="25"/>
      <c r="H50" s="25"/>
      <c r="I50" s="5"/>
      <c r="J50" s="4"/>
      <c r="K50" s="14"/>
      <c r="L50" s="15">
        <f t="shared" si="0"/>
        <v>0</v>
      </c>
      <c r="M50" s="27"/>
      <c r="N50" s="173">
        <f t="shared" si="1"/>
        <v>0</v>
      </c>
    </row>
    <row r="51" spans="1:14" ht="13.5" hidden="1" thickBot="1">
      <c r="A51" s="154"/>
      <c r="B51" s="12"/>
      <c r="C51" s="12"/>
      <c r="D51" s="3"/>
      <c r="E51" s="4"/>
      <c r="F51" s="13"/>
      <c r="G51" s="25"/>
      <c r="H51" s="25"/>
      <c r="I51" s="5"/>
      <c r="J51" s="4"/>
      <c r="K51" s="14"/>
      <c r="L51" s="15">
        <f t="shared" si="0"/>
        <v>0</v>
      </c>
      <c r="M51" s="27"/>
      <c r="N51" s="173">
        <f t="shared" si="1"/>
        <v>0</v>
      </c>
    </row>
    <row r="52" spans="1:14" ht="13.5" hidden="1" thickBot="1">
      <c r="A52" s="154"/>
      <c r="B52" s="12"/>
      <c r="C52" s="12"/>
      <c r="D52" s="3"/>
      <c r="E52" s="4"/>
      <c r="F52" s="13"/>
      <c r="G52" s="25"/>
      <c r="H52" s="25"/>
      <c r="I52" s="5"/>
      <c r="J52" s="4"/>
      <c r="K52" s="14"/>
      <c r="L52" s="15">
        <f t="shared" si="0"/>
        <v>0</v>
      </c>
      <c r="M52" s="27"/>
      <c r="N52" s="173">
        <f t="shared" si="1"/>
        <v>0</v>
      </c>
    </row>
    <row r="53" spans="1:14" ht="13.5" hidden="1" thickBot="1">
      <c r="A53" s="154"/>
      <c r="B53" s="12"/>
      <c r="C53" s="12"/>
      <c r="D53" s="3"/>
      <c r="E53" s="4"/>
      <c r="F53" s="13"/>
      <c r="G53" s="25"/>
      <c r="H53" s="25"/>
      <c r="I53" s="5"/>
      <c r="J53" s="4"/>
      <c r="K53" s="14"/>
      <c r="L53" s="15">
        <f t="shared" si="0"/>
        <v>0</v>
      </c>
      <c r="M53" s="27"/>
      <c r="N53" s="173">
        <f t="shared" si="1"/>
        <v>0</v>
      </c>
    </row>
    <row r="54" spans="1:14" ht="13.5" hidden="1" thickBot="1">
      <c r="A54" s="154"/>
      <c r="B54" s="12"/>
      <c r="C54" s="12"/>
      <c r="D54" s="3"/>
      <c r="E54" s="4"/>
      <c r="F54" s="13"/>
      <c r="G54" s="25"/>
      <c r="H54" s="25"/>
      <c r="I54" s="5"/>
      <c r="J54" s="4"/>
      <c r="K54" s="14"/>
      <c r="L54" s="15">
        <f t="shared" si="0"/>
        <v>0</v>
      </c>
      <c r="M54" s="27"/>
      <c r="N54" s="173">
        <f t="shared" si="1"/>
        <v>0</v>
      </c>
    </row>
    <row r="55" spans="1:14" ht="13.5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5">
        <f t="shared" si="0"/>
        <v>0</v>
      </c>
      <c r="M55" s="27"/>
      <c r="N55" s="173">
        <f t="shared" si="1"/>
        <v>0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aca="true" t="shared" si="2" ref="L64:L70">I64-J64</f>
        <v>0</v>
      </c>
      <c r="M64" s="27"/>
      <c r="N64" s="173">
        <f aca="true" t="shared" si="3" ref="N64:N70">E64-J64</f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2"/>
        <v>0</v>
      </c>
      <c r="M65" s="27"/>
      <c r="N65" s="173">
        <f t="shared" si="3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2"/>
        <v>0</v>
      </c>
      <c r="M66" s="27"/>
      <c r="N66" s="173">
        <f t="shared" si="3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2"/>
        <v>0</v>
      </c>
      <c r="M67" s="27"/>
      <c r="N67" s="173">
        <f t="shared" si="3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2"/>
        <v>0</v>
      </c>
      <c r="M68" s="27"/>
      <c r="N68" s="173">
        <f t="shared" si="3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73">
        <f t="shared" si="3"/>
        <v>0</v>
      </c>
    </row>
    <row r="70" spans="1:14" ht="13.5" hidden="1" thickBot="1">
      <c r="A70" s="155"/>
      <c r="B70" s="111"/>
      <c r="C70" s="111"/>
      <c r="D70" s="112"/>
      <c r="E70" s="126"/>
      <c r="F70" s="114"/>
      <c r="G70" s="115"/>
      <c r="H70" s="115"/>
      <c r="I70" s="116"/>
      <c r="J70" s="126"/>
      <c r="K70" s="127"/>
      <c r="L70" s="90">
        <f t="shared" si="2"/>
        <v>0</v>
      </c>
      <c r="M70" s="27"/>
      <c r="N70" s="170">
        <f t="shared" si="3"/>
        <v>0</v>
      </c>
    </row>
    <row r="71" spans="1:14" ht="14.25" thickBot="1" thickTop="1">
      <c r="A71" s="128"/>
      <c r="B71" s="129"/>
      <c r="C71" s="130" t="s">
        <v>8</v>
      </c>
      <c r="D71" s="131">
        <f>SUM(D3:D70)</f>
        <v>3185279.25</v>
      </c>
      <c r="E71" s="132">
        <f>SUM(E3:E70)</f>
        <v>1469817.8599999999</v>
      </c>
      <c r="F71" s="133"/>
      <c r="G71" s="133"/>
      <c r="H71" s="133"/>
      <c r="I71" s="134">
        <f>+I12+I17+I19+I29+I33+I39+I41</f>
        <v>251446.99999999997</v>
      </c>
      <c r="J71" s="134">
        <f>+J12+J17+J19+J29+J33+J39+J41</f>
        <v>182730.12999999998</v>
      </c>
      <c r="K71" s="133"/>
      <c r="L71" s="134">
        <f>+L12+L17+L19+L29+L33+L39+L41</f>
        <v>68716.86999999998</v>
      </c>
      <c r="M71" s="135"/>
      <c r="N71" s="136">
        <f>+N12+N17+N19+N29+N33+N39+N41</f>
        <v>1287087.73</v>
      </c>
    </row>
    <row r="72" ht="13.5" thickTop="1"/>
    <row r="74" ht="12.75">
      <c r="A74" s="2" t="s">
        <v>42</v>
      </c>
    </row>
    <row r="75" ht="12.75">
      <c r="J75" s="295"/>
    </row>
    <row r="76" ht="12.75">
      <c r="J76" s="296"/>
    </row>
  </sheetData>
  <sheetProtection/>
  <mergeCells count="1">
    <mergeCell ref="A1:N1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6"/>
  <sheetViews>
    <sheetView showGridLines="0" zoomScalePageLayoutView="0" workbookViewId="0" topLeftCell="A1">
      <selection activeCell="N72" sqref="N72"/>
    </sheetView>
  </sheetViews>
  <sheetFormatPr defaultColWidth="9.140625" defaultRowHeight="12.75"/>
  <cols>
    <col min="1" max="1" width="10.7109375" style="174" customWidth="1"/>
    <col min="2" max="2" width="11.7109375" style="174" customWidth="1"/>
    <col min="3" max="3" width="43.421875" style="174" customWidth="1"/>
    <col min="4" max="5" width="12.00390625" style="174" customWidth="1"/>
    <col min="6" max="8" width="9.140625" style="174" customWidth="1"/>
    <col min="9" max="9" width="10.7109375" style="174" customWidth="1"/>
    <col min="10" max="10" width="11.8515625" style="174" customWidth="1"/>
    <col min="11" max="11" width="9.140625" style="174" customWidth="1"/>
    <col min="12" max="12" width="10.7109375" style="24" customWidth="1"/>
    <col min="13" max="13" width="9.140625" style="24" customWidth="1"/>
    <col min="14" max="14" width="12.00390625" style="752" customWidth="1"/>
    <col min="15" max="15" width="2.00390625" style="174" customWidth="1"/>
    <col min="16" max="16384" width="9.140625" style="174" customWidth="1"/>
  </cols>
  <sheetData>
    <row r="1" spans="1:14" ht="24.75" customHeight="1" thickBot="1">
      <c r="A1" s="954" t="s">
        <v>146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147</v>
      </c>
      <c r="F2" s="138" t="s">
        <v>3</v>
      </c>
      <c r="G2" s="138" t="s">
        <v>4</v>
      </c>
      <c r="H2" s="138" t="s">
        <v>5</v>
      </c>
      <c r="I2" s="138" t="s">
        <v>148</v>
      </c>
      <c r="J2" s="138" t="s">
        <v>149</v>
      </c>
      <c r="K2" s="138" t="s">
        <v>6</v>
      </c>
      <c r="L2" s="138" t="s">
        <v>150</v>
      </c>
      <c r="M2" s="138" t="s">
        <v>6</v>
      </c>
      <c r="N2" s="139" t="s">
        <v>151</v>
      </c>
    </row>
    <row r="3" spans="1:15" ht="12.75">
      <c r="A3" s="654">
        <v>4425594</v>
      </c>
      <c r="B3" s="655" t="s">
        <v>7</v>
      </c>
      <c r="C3" s="655" t="s">
        <v>15</v>
      </c>
      <c r="D3" s="656">
        <v>413165</v>
      </c>
      <c r="E3" s="657">
        <f>'2017'!N3</f>
        <v>167010.56</v>
      </c>
      <c r="F3" s="658">
        <v>4.8</v>
      </c>
      <c r="G3" s="659">
        <v>2004</v>
      </c>
      <c r="H3" s="659">
        <v>2023</v>
      </c>
      <c r="I3" s="660">
        <v>32365.92</v>
      </c>
      <c r="J3" s="661">
        <v>24641.61</v>
      </c>
      <c r="K3" s="35" t="s">
        <v>42</v>
      </c>
      <c r="L3" s="661">
        <f>I3-J3</f>
        <v>7724.309999999998</v>
      </c>
      <c r="M3" s="654" t="s">
        <v>42</v>
      </c>
      <c r="N3" s="662">
        <f>E3-J3</f>
        <v>142368.95</v>
      </c>
      <c r="O3" s="663"/>
    </row>
    <row r="4" spans="1:14" ht="12.75">
      <c r="A4" s="654">
        <v>4403430</v>
      </c>
      <c r="B4" s="655" t="s">
        <v>7</v>
      </c>
      <c r="C4" s="655" t="s">
        <v>15</v>
      </c>
      <c r="D4" s="656">
        <v>154937.07</v>
      </c>
      <c r="E4" s="657">
        <f>'2017'!N4</f>
        <v>44951.630000000005</v>
      </c>
      <c r="F4" s="658">
        <v>5.25</v>
      </c>
      <c r="G4" s="659">
        <v>2002.2021</v>
      </c>
      <c r="H4" s="659">
        <v>2021</v>
      </c>
      <c r="I4" s="660">
        <v>12605.48</v>
      </c>
      <c r="J4" s="661">
        <v>10380</v>
      </c>
      <c r="K4" s="35"/>
      <c r="L4" s="661">
        <f aca="true" t="shared" si="0" ref="L4:L67">I4-J4</f>
        <v>2225.4799999999996</v>
      </c>
      <c r="M4" s="35"/>
      <c r="N4" s="664">
        <f aca="true" t="shared" si="1" ref="N4:N67">E4-J4</f>
        <v>34571.630000000005</v>
      </c>
    </row>
    <row r="5" spans="1:14" ht="12" customHeight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'2017'!N5</f>
        <v>23819.22</v>
      </c>
      <c r="F5" s="658">
        <v>5.75</v>
      </c>
      <c r="G5" s="659">
        <v>2001</v>
      </c>
      <c r="H5" s="659">
        <v>2020</v>
      </c>
      <c r="I5" s="660">
        <v>8757.58</v>
      </c>
      <c r="J5" s="661">
        <v>7494.17</v>
      </c>
      <c r="K5" s="35"/>
      <c r="L5" s="661">
        <f t="shared" si="0"/>
        <v>1263.4099999999999</v>
      </c>
      <c r="M5" s="35"/>
      <c r="N5" s="664">
        <f t="shared" si="1"/>
        <v>16325.050000000001</v>
      </c>
    </row>
    <row r="6" spans="1:14" ht="12.75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'2017'!N6</f>
        <v>17864.45</v>
      </c>
      <c r="F6" s="658">
        <v>5.75</v>
      </c>
      <c r="G6" s="659">
        <v>2001</v>
      </c>
      <c r="H6" s="659">
        <v>2020</v>
      </c>
      <c r="I6" s="660">
        <v>6568.18</v>
      </c>
      <c r="J6" s="661">
        <v>5620.63</v>
      </c>
      <c r="K6" s="35"/>
      <c r="L6" s="661">
        <f t="shared" si="0"/>
        <v>947.5500000000002</v>
      </c>
      <c r="M6" s="35"/>
      <c r="N6" s="664">
        <f t="shared" si="1"/>
        <v>12243.82</v>
      </c>
    </row>
    <row r="7" spans="1:14" ht="12.75">
      <c r="A7" s="654">
        <v>4354048</v>
      </c>
      <c r="B7" s="655" t="s">
        <v>7</v>
      </c>
      <c r="C7" s="655" t="s">
        <v>15</v>
      </c>
      <c r="D7" s="656">
        <v>179245.09</v>
      </c>
      <c r="E7" s="657">
        <f>'2017'!N7</f>
        <v>17907.65</v>
      </c>
      <c r="F7" s="658">
        <v>0</v>
      </c>
      <c r="G7" s="659">
        <v>2000</v>
      </c>
      <c r="H7" s="659">
        <v>2019</v>
      </c>
      <c r="I7" s="660">
        <f>9753.84</f>
        <v>9753.84</v>
      </c>
      <c r="J7" s="661">
        <f>4476.92+4476.92</f>
        <v>8953.84</v>
      </c>
      <c r="K7" s="35">
        <v>3030</v>
      </c>
      <c r="L7" s="769">
        <f t="shared" si="0"/>
        <v>800</v>
      </c>
      <c r="M7" s="35">
        <v>283</v>
      </c>
      <c r="N7" s="664">
        <f t="shared" si="1"/>
        <v>8953.810000000001</v>
      </c>
    </row>
    <row r="8" spans="1:14" ht="12.75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'2017'!N8</f>
        <v>0</v>
      </c>
      <c r="F8" s="658">
        <v>6.5</v>
      </c>
      <c r="G8" s="659">
        <v>1998</v>
      </c>
      <c r="H8" s="659">
        <v>2017</v>
      </c>
      <c r="I8" s="660">
        <v>0</v>
      </c>
      <c r="J8" s="661"/>
      <c r="K8" s="35"/>
      <c r="L8" s="661">
        <f t="shared" si="0"/>
        <v>0</v>
      </c>
      <c r="M8" s="35"/>
      <c r="N8" s="664">
        <f t="shared" si="1"/>
        <v>0</v>
      </c>
    </row>
    <row r="9" spans="1:14" ht="12.75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'2017'!N9</f>
        <v>0</v>
      </c>
      <c r="F9" s="658">
        <v>6.5</v>
      </c>
      <c r="G9" s="659">
        <v>1998</v>
      </c>
      <c r="H9" s="659">
        <v>2017</v>
      </c>
      <c r="I9" s="660">
        <v>0</v>
      </c>
      <c r="J9" s="661"/>
      <c r="K9" s="35"/>
      <c r="L9" s="661">
        <f t="shared" si="0"/>
        <v>0</v>
      </c>
      <c r="M9" s="35"/>
      <c r="N9" s="664">
        <f t="shared" si="1"/>
        <v>0</v>
      </c>
    </row>
    <row r="10" spans="1:14" ht="12.75">
      <c r="A10" s="666" t="s">
        <v>77</v>
      </c>
      <c r="B10" s="667" t="s">
        <v>7</v>
      </c>
      <c r="C10" s="667" t="s">
        <v>72</v>
      </c>
      <c r="D10" s="668">
        <v>80000</v>
      </c>
      <c r="E10" s="657">
        <f>'2017'!N10</f>
        <v>39210.39</v>
      </c>
      <c r="F10" s="669">
        <v>3.72</v>
      </c>
      <c r="G10" s="670">
        <v>2006</v>
      </c>
      <c r="H10" s="670">
        <v>2025</v>
      </c>
      <c r="I10" s="671">
        <v>5716.4</v>
      </c>
      <c r="J10" s="672">
        <v>4289.66</v>
      </c>
      <c r="K10" s="35"/>
      <c r="L10" s="672">
        <f>I10-J10</f>
        <v>1426.7399999999998</v>
      </c>
      <c r="M10" s="35"/>
      <c r="N10" s="664">
        <f>E10-J10</f>
        <v>34920.729999999996</v>
      </c>
    </row>
    <row r="11" spans="1:14" s="673" customFormat="1" ht="13.5" thickBot="1">
      <c r="A11" s="755" t="s">
        <v>102</v>
      </c>
      <c r="B11" s="655" t="s">
        <v>20</v>
      </c>
      <c r="C11" s="655" t="s">
        <v>92</v>
      </c>
      <c r="D11" s="656">
        <v>60000</v>
      </c>
      <c r="E11" s="657">
        <f>'2017'!N11</f>
        <v>42323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2703.41</v>
      </c>
      <c r="K11" s="66"/>
      <c r="L11" s="672">
        <f>I11-J11</f>
        <v>1940.6900000000005</v>
      </c>
      <c r="M11" s="66"/>
      <c r="N11" s="664">
        <f>E11-J11</f>
        <v>39619.59</v>
      </c>
    </row>
    <row r="12" spans="1:14" ht="13.5" thickBot="1">
      <c r="A12" s="674"/>
      <c r="B12" s="675"/>
      <c r="C12" s="675"/>
      <c r="D12" s="676"/>
      <c r="E12" s="677" t="s">
        <v>42</v>
      </c>
      <c r="F12" s="678"/>
      <c r="G12" s="679"/>
      <c r="H12" s="680" t="s">
        <v>43</v>
      </c>
      <c r="I12" s="681">
        <f>SUM(I3:I11)</f>
        <v>80411.5</v>
      </c>
      <c r="J12" s="682">
        <f>SUM(J3:J11)</f>
        <v>64083.32000000001</v>
      </c>
      <c r="K12" s="683"/>
      <c r="L12" s="684">
        <f t="shared" si="0"/>
        <v>16328.179999999993</v>
      </c>
      <c r="M12" s="685"/>
      <c r="N12" s="686">
        <f>SUM(N3:N11)</f>
        <v>289003.57999999996</v>
      </c>
    </row>
    <row r="13" spans="1:14" ht="12.75">
      <c r="A13" s="687">
        <v>4367661</v>
      </c>
      <c r="B13" s="688" t="s">
        <v>20</v>
      </c>
      <c r="C13" s="688" t="s">
        <v>21</v>
      </c>
      <c r="D13" s="689">
        <v>51645.69</v>
      </c>
      <c r="E13" s="690">
        <f>'2017'!N13</f>
        <v>11909.59</v>
      </c>
      <c r="F13" s="691">
        <v>5.75</v>
      </c>
      <c r="G13" s="692">
        <v>2001</v>
      </c>
      <c r="H13" s="692">
        <v>2020</v>
      </c>
      <c r="I13" s="693">
        <v>4378.78</v>
      </c>
      <c r="J13" s="694">
        <v>3747.08</v>
      </c>
      <c r="K13" s="66"/>
      <c r="L13" s="695">
        <f t="shared" si="0"/>
        <v>631.6999999999998</v>
      </c>
      <c r="M13" s="66"/>
      <c r="N13" s="696">
        <f t="shared" si="1"/>
        <v>8162.51</v>
      </c>
    </row>
    <row r="14" spans="1:14" ht="12.75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'2017'!N14</f>
        <v>17864.45</v>
      </c>
      <c r="F14" s="658">
        <v>5.75</v>
      </c>
      <c r="G14" s="659">
        <v>2001</v>
      </c>
      <c r="H14" s="659">
        <v>2020</v>
      </c>
      <c r="I14" s="660">
        <v>6568.18</v>
      </c>
      <c r="J14" s="697">
        <v>5620.63</v>
      </c>
      <c r="K14" s="66"/>
      <c r="L14" s="698">
        <f t="shared" si="0"/>
        <v>947.5500000000002</v>
      </c>
      <c r="M14" s="66"/>
      <c r="N14" s="664">
        <f t="shared" si="1"/>
        <v>12243.82</v>
      </c>
    </row>
    <row r="15" spans="1:14" ht="12.75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'2017'!N15</f>
        <v>4170.799999999999</v>
      </c>
      <c r="F15" s="658">
        <v>4.85</v>
      </c>
      <c r="G15" s="659">
        <v>1999</v>
      </c>
      <c r="H15" s="774">
        <v>2018</v>
      </c>
      <c r="I15" s="660">
        <v>4323.16</v>
      </c>
      <c r="J15" s="697">
        <v>4170.8</v>
      </c>
      <c r="K15" s="66">
        <v>3030</v>
      </c>
      <c r="L15" s="698">
        <f t="shared" si="0"/>
        <v>152.35999999999967</v>
      </c>
      <c r="M15" s="66">
        <v>518</v>
      </c>
      <c r="N15" s="664">
        <f t="shared" si="1"/>
        <v>0</v>
      </c>
    </row>
    <row r="16" spans="1:14" s="673" customFormat="1" ht="13.5" thickBot="1">
      <c r="A16" s="699">
        <v>4555239</v>
      </c>
      <c r="B16" s="667" t="s">
        <v>20</v>
      </c>
      <c r="C16" s="667" t="s">
        <v>164</v>
      </c>
      <c r="D16" s="668">
        <v>127500</v>
      </c>
      <c r="E16" s="690">
        <f>'2017'!N16</f>
        <v>104535.89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4761.57</v>
      </c>
      <c r="K16" s="66"/>
      <c r="L16" s="701">
        <f>I16-J16</f>
        <v>6734.1900000000005</v>
      </c>
      <c r="M16" s="66"/>
      <c r="N16" s="664">
        <f>E16-J16</f>
        <v>99774.32</v>
      </c>
    </row>
    <row r="17" spans="1:14" ht="13.5" thickBot="1">
      <c r="A17" s="674"/>
      <c r="B17" s="675"/>
      <c r="C17" s="675"/>
      <c r="D17" s="676"/>
      <c r="E17" s="702" t="s">
        <v>42</v>
      </c>
      <c r="F17" s="678"/>
      <c r="G17" s="679"/>
      <c r="H17" s="680" t="s">
        <v>43</v>
      </c>
      <c r="I17" s="681">
        <f>SUM(I13:I16)</f>
        <v>26765.879999999997</v>
      </c>
      <c r="J17" s="682">
        <f>SUM(J13:J16)</f>
        <v>18300.079999999998</v>
      </c>
      <c r="K17" s="683"/>
      <c r="L17" s="684">
        <f t="shared" si="0"/>
        <v>8465.8</v>
      </c>
      <c r="M17" s="685"/>
      <c r="N17" s="703">
        <f>SUM(N13:N16)</f>
        <v>120180.65000000001</v>
      </c>
    </row>
    <row r="18" spans="1:14" s="673" customFormat="1" ht="13.5" thickBot="1">
      <c r="A18" s="704">
        <v>4550239</v>
      </c>
      <c r="B18" s="705" t="s">
        <v>20</v>
      </c>
      <c r="C18" s="705" t="s">
        <v>93</v>
      </c>
      <c r="D18" s="706">
        <v>114950</v>
      </c>
      <c r="E18" s="707">
        <f>'2017'!N18</f>
        <v>91303.85</v>
      </c>
      <c r="F18" s="708">
        <v>4.93</v>
      </c>
      <c r="G18" s="709">
        <v>2012</v>
      </c>
      <c r="H18" s="709">
        <v>2031</v>
      </c>
      <c r="I18" s="710">
        <v>9111.38</v>
      </c>
      <c r="J18" s="711">
        <v>4658.7</v>
      </c>
      <c r="K18" s="35">
        <v>3030</v>
      </c>
      <c r="L18" s="712">
        <f>I18-J18</f>
        <v>4452.679999999999</v>
      </c>
      <c r="M18" s="66">
        <v>645</v>
      </c>
      <c r="N18" s="713">
        <f>E18-J18</f>
        <v>86645.15000000001</v>
      </c>
    </row>
    <row r="19" spans="1:14" ht="13.5" thickBot="1">
      <c r="A19" s="674"/>
      <c r="B19" s="675"/>
      <c r="C19" s="675"/>
      <c r="D19" s="676"/>
      <c r="E19" s="682" t="s">
        <v>42</v>
      </c>
      <c r="F19" s="678"/>
      <c r="G19" s="680"/>
      <c r="H19" s="680" t="s">
        <v>43</v>
      </c>
      <c r="I19" s="681">
        <f>SUM(I18:I18)</f>
        <v>9111.38</v>
      </c>
      <c r="J19" s="682">
        <f>SUM(J18:J18)</f>
        <v>4658.7</v>
      </c>
      <c r="K19" s="685"/>
      <c r="L19" s="684">
        <f t="shared" si="0"/>
        <v>4452.679999999999</v>
      </c>
      <c r="M19" s="685"/>
      <c r="N19" s="703">
        <f>SUM(N18:N18)</f>
        <v>86645.15000000001</v>
      </c>
    </row>
    <row r="20" spans="1:14" ht="12.75">
      <c r="A20" s="714" t="s">
        <v>28</v>
      </c>
      <c r="B20" s="688" t="s">
        <v>20</v>
      </c>
      <c r="C20" s="688" t="s">
        <v>29</v>
      </c>
      <c r="D20" s="689">
        <v>17559.53</v>
      </c>
      <c r="E20" s="707">
        <f>'2017'!N20</f>
        <v>4049.24</v>
      </c>
      <c r="F20" s="691">
        <v>5.75</v>
      </c>
      <c r="G20" s="692">
        <v>2001</v>
      </c>
      <c r="H20" s="692">
        <v>2020</v>
      </c>
      <c r="I20" s="693">
        <v>1488.78</v>
      </c>
      <c r="J20" s="715">
        <v>1274.01</v>
      </c>
      <c r="K20" s="35"/>
      <c r="L20" s="715">
        <f t="shared" si="0"/>
        <v>214.76999999999998</v>
      </c>
      <c r="M20" s="35"/>
      <c r="N20" s="716">
        <f t="shared" si="1"/>
        <v>2775.2299999999996</v>
      </c>
    </row>
    <row r="21" spans="1:14" ht="12.75">
      <c r="A21" s="654">
        <v>4364549</v>
      </c>
      <c r="B21" s="655" t="s">
        <v>20</v>
      </c>
      <c r="C21" s="655" t="s">
        <v>29</v>
      </c>
      <c r="D21" s="656">
        <v>137377.54</v>
      </c>
      <c r="E21" s="690">
        <f>'2017'!N21</f>
        <v>31679.660000000003</v>
      </c>
      <c r="F21" s="658">
        <v>5.75</v>
      </c>
      <c r="G21" s="659">
        <v>2001</v>
      </c>
      <c r="H21" s="659">
        <v>2020</v>
      </c>
      <c r="I21" s="660">
        <v>11647.56</v>
      </c>
      <c r="J21" s="661">
        <v>9967.23</v>
      </c>
      <c r="K21" s="35"/>
      <c r="L21" s="661">
        <f t="shared" si="0"/>
        <v>1680.33</v>
      </c>
      <c r="M21" s="35"/>
      <c r="N21" s="664">
        <f t="shared" si="1"/>
        <v>21712.430000000004</v>
      </c>
    </row>
    <row r="22" spans="1:14" ht="13.5" customHeight="1">
      <c r="A22" s="717">
        <v>4464738</v>
      </c>
      <c r="B22" s="655" t="s">
        <v>20</v>
      </c>
      <c r="C22" s="655" t="s">
        <v>29</v>
      </c>
      <c r="D22" s="668">
        <v>160000</v>
      </c>
      <c r="E22" s="690">
        <f>'2017'!N22</f>
        <v>77117.04999999999</v>
      </c>
      <c r="F22" s="669">
        <v>3.4</v>
      </c>
      <c r="G22" s="670">
        <v>2006</v>
      </c>
      <c r="H22" s="670">
        <v>2025</v>
      </c>
      <c r="I22" s="671">
        <v>11091.2</v>
      </c>
      <c r="J22" s="672">
        <v>8541.21</v>
      </c>
      <c r="K22" s="35"/>
      <c r="L22" s="672">
        <f t="shared" si="0"/>
        <v>2549.9900000000016</v>
      </c>
      <c r="M22" s="35"/>
      <c r="N22" s="664">
        <f t="shared" si="1"/>
        <v>68575.84</v>
      </c>
    </row>
    <row r="23" spans="1:14" ht="12.75">
      <c r="A23" s="717">
        <v>4478664</v>
      </c>
      <c r="B23" s="655" t="s">
        <v>20</v>
      </c>
      <c r="C23" s="655" t="s">
        <v>29</v>
      </c>
      <c r="D23" s="668">
        <v>53000</v>
      </c>
      <c r="E23" s="690">
        <f>'2017'!N23</f>
        <v>25545.02</v>
      </c>
      <c r="F23" s="669">
        <v>3.4</v>
      </c>
      <c r="G23" s="670">
        <v>2006</v>
      </c>
      <c r="H23" s="670">
        <v>2026</v>
      </c>
      <c r="I23" s="671">
        <v>3673.96</v>
      </c>
      <c r="J23" s="672">
        <v>2829.27</v>
      </c>
      <c r="K23" s="35"/>
      <c r="L23" s="672">
        <f t="shared" si="0"/>
        <v>844.69</v>
      </c>
      <c r="M23" s="35"/>
      <c r="N23" s="664">
        <f t="shared" si="1"/>
        <v>22715.75</v>
      </c>
    </row>
    <row r="24" spans="1:14" ht="12.75">
      <c r="A24" s="666" t="s">
        <v>76</v>
      </c>
      <c r="B24" s="655" t="s">
        <v>20</v>
      </c>
      <c r="C24" s="655" t="s">
        <v>73</v>
      </c>
      <c r="D24" s="668">
        <v>100000</v>
      </c>
      <c r="E24" s="690">
        <f>'2017'!N24</f>
        <v>48965.14</v>
      </c>
      <c r="F24" s="669">
        <v>3.72</v>
      </c>
      <c r="G24" s="670">
        <v>2006</v>
      </c>
      <c r="H24" s="670">
        <v>2025</v>
      </c>
      <c r="I24" s="671">
        <v>7132.84</v>
      </c>
      <c r="J24" s="672">
        <v>5360.73</v>
      </c>
      <c r="K24" s="35"/>
      <c r="L24" s="672">
        <f t="shared" si="0"/>
        <v>1772.1100000000006</v>
      </c>
      <c r="M24" s="35"/>
      <c r="N24" s="664">
        <f t="shared" si="1"/>
        <v>43604.41</v>
      </c>
    </row>
    <row r="25" spans="1:15" s="718" customFormat="1" ht="12.75">
      <c r="A25" s="666" t="s">
        <v>104</v>
      </c>
      <c r="B25" s="655" t="s">
        <v>20</v>
      </c>
      <c r="C25" s="655" t="s">
        <v>78</v>
      </c>
      <c r="D25" s="668">
        <v>120000</v>
      </c>
      <c r="E25" s="690">
        <f>'2017'!N25</f>
        <v>83809.27</v>
      </c>
      <c r="F25" s="669">
        <v>4.32</v>
      </c>
      <c r="G25" s="670">
        <v>2010</v>
      </c>
      <c r="H25" s="670">
        <v>2029</v>
      </c>
      <c r="I25" s="671">
        <v>9027.68</v>
      </c>
      <c r="J25" s="672">
        <v>5458.84</v>
      </c>
      <c r="K25" s="35">
        <v>3030</v>
      </c>
      <c r="L25" s="672">
        <f t="shared" si="0"/>
        <v>3568.84</v>
      </c>
      <c r="M25" s="35">
        <v>760</v>
      </c>
      <c r="N25" s="664">
        <f t="shared" si="1"/>
        <v>78350.43000000001</v>
      </c>
      <c r="O25" s="174"/>
    </row>
    <row r="26" spans="1:15" s="718" customFormat="1" ht="17.25" customHeight="1">
      <c r="A26" s="666" t="s">
        <v>103</v>
      </c>
      <c r="B26" s="667" t="s">
        <v>20</v>
      </c>
      <c r="C26" s="719" t="s">
        <v>107</v>
      </c>
      <c r="D26" s="668">
        <v>90000</v>
      </c>
      <c r="E26" s="690">
        <f>'2017'!N26</f>
        <v>62818.759999999995</v>
      </c>
      <c r="F26" s="669">
        <v>4.3</v>
      </c>
      <c r="G26" s="670">
        <v>2010</v>
      </c>
      <c r="H26" s="670">
        <v>2029</v>
      </c>
      <c r="I26" s="671">
        <v>6759.04</v>
      </c>
      <c r="J26" s="700">
        <v>4096.45</v>
      </c>
      <c r="K26" s="66"/>
      <c r="L26" s="701">
        <f t="shared" si="0"/>
        <v>2662.59</v>
      </c>
      <c r="M26" s="66"/>
      <c r="N26" s="664">
        <f t="shared" si="1"/>
        <v>58722.31</v>
      </c>
      <c r="O26" s="174"/>
    </row>
    <row r="27" spans="1:14" s="718" customFormat="1" ht="12.75" customHeight="1">
      <c r="A27" s="666" t="s">
        <v>117</v>
      </c>
      <c r="B27" s="667" t="s">
        <v>20</v>
      </c>
      <c r="C27" s="719" t="s">
        <v>108</v>
      </c>
      <c r="D27" s="668">
        <v>152925</v>
      </c>
      <c r="E27" s="690">
        <f>'2017'!N27</f>
        <v>113406.68</v>
      </c>
      <c r="F27" s="669">
        <v>4.43</v>
      </c>
      <c r="G27" s="670">
        <v>2011</v>
      </c>
      <c r="H27" s="670">
        <v>2029</v>
      </c>
      <c r="I27" s="671">
        <v>11483.74</v>
      </c>
      <c r="J27" s="700">
        <v>6670.38</v>
      </c>
      <c r="K27" s="66"/>
      <c r="L27" s="701">
        <f t="shared" si="0"/>
        <v>4813.36</v>
      </c>
      <c r="M27" s="66"/>
      <c r="N27" s="720">
        <f t="shared" si="1"/>
        <v>106736.29999999999</v>
      </c>
    </row>
    <row r="28" spans="1:14" s="718" customFormat="1" ht="13.5" thickBot="1">
      <c r="A28" s="798">
        <v>4555218</v>
      </c>
      <c r="B28" s="721" t="s">
        <v>20</v>
      </c>
      <c r="C28" s="721" t="s">
        <v>109</v>
      </c>
      <c r="D28" s="799">
        <v>67572.27</v>
      </c>
      <c r="E28" s="800">
        <f>'2017'!N28</f>
        <v>55401.79</v>
      </c>
      <c r="F28" s="722">
        <v>6.51</v>
      </c>
      <c r="G28" s="723">
        <v>2012</v>
      </c>
      <c r="H28" s="723">
        <v>2031</v>
      </c>
      <c r="I28" s="801">
        <v>6092.5</v>
      </c>
      <c r="J28" s="724">
        <v>2523.52</v>
      </c>
      <c r="K28" s="653"/>
      <c r="L28" s="724">
        <f>I28-J28</f>
        <v>3568.98</v>
      </c>
      <c r="M28" s="653"/>
      <c r="N28" s="756">
        <f>E28-J28</f>
        <v>52878.270000000004</v>
      </c>
    </row>
    <row r="29" spans="1:14" ht="13.5" thickBot="1">
      <c r="A29" s="674"/>
      <c r="B29" s="675"/>
      <c r="C29" s="675"/>
      <c r="D29" s="676"/>
      <c r="E29" s="725" t="s">
        <v>42</v>
      </c>
      <c r="F29" s="678"/>
      <c r="G29" s="679"/>
      <c r="H29" s="680" t="s">
        <v>43</v>
      </c>
      <c r="I29" s="681">
        <f>SUM(I20:I28)</f>
        <v>68397.29999999999</v>
      </c>
      <c r="J29" s="682">
        <f>SUM(J20:J28)</f>
        <v>46721.639999999985</v>
      </c>
      <c r="K29" s="685"/>
      <c r="L29" s="684">
        <f t="shared" si="0"/>
        <v>21675.660000000003</v>
      </c>
      <c r="M29" s="685"/>
      <c r="N29" s="703">
        <f>SUM(N20:N28)</f>
        <v>456070.97000000003</v>
      </c>
    </row>
    <row r="30" spans="1:14" ht="12.75">
      <c r="A30" s="714" t="s">
        <v>32</v>
      </c>
      <c r="B30" s="688" t="s">
        <v>20</v>
      </c>
      <c r="C30" s="688" t="s">
        <v>33</v>
      </c>
      <c r="D30" s="689">
        <v>13180.75</v>
      </c>
      <c r="E30" s="726">
        <f>'2017'!N30</f>
        <v>0</v>
      </c>
      <c r="F30" s="691">
        <v>6.5</v>
      </c>
      <c r="G30" s="692">
        <v>1998</v>
      </c>
      <c r="H30" s="692">
        <v>2017</v>
      </c>
      <c r="I30" s="693">
        <v>0</v>
      </c>
      <c r="J30" s="715"/>
      <c r="K30" s="35"/>
      <c r="L30" s="715">
        <f t="shared" si="0"/>
        <v>0</v>
      </c>
      <c r="M30" s="35"/>
      <c r="N30" s="727">
        <f t="shared" si="1"/>
        <v>0</v>
      </c>
    </row>
    <row r="31" spans="1:14" ht="12.75">
      <c r="A31" s="654">
        <v>4317937</v>
      </c>
      <c r="B31" s="655" t="s">
        <v>20</v>
      </c>
      <c r="C31" s="655" t="s">
        <v>33</v>
      </c>
      <c r="D31" s="656">
        <v>90110.63</v>
      </c>
      <c r="E31" s="726">
        <f>'2017'!N31</f>
        <v>0</v>
      </c>
      <c r="F31" s="658">
        <v>6.5</v>
      </c>
      <c r="G31" s="659">
        <v>1998</v>
      </c>
      <c r="H31" s="659">
        <v>2017</v>
      </c>
      <c r="I31" s="660">
        <v>0</v>
      </c>
      <c r="J31" s="661"/>
      <c r="K31" s="35">
        <v>3030</v>
      </c>
      <c r="L31" s="661">
        <f t="shared" si="0"/>
        <v>0</v>
      </c>
      <c r="M31" s="35">
        <v>820</v>
      </c>
      <c r="N31" s="664">
        <f t="shared" si="1"/>
        <v>0</v>
      </c>
    </row>
    <row r="32" spans="1:14" ht="13.5" thickBot="1">
      <c r="A32" s="665" t="s">
        <v>34</v>
      </c>
      <c r="B32" s="655" t="s">
        <v>20</v>
      </c>
      <c r="C32" s="655" t="s">
        <v>33</v>
      </c>
      <c r="D32" s="656">
        <v>51645.69</v>
      </c>
      <c r="E32" s="726">
        <f>'2017'!N32</f>
        <v>0</v>
      </c>
      <c r="F32" s="658">
        <v>6.5</v>
      </c>
      <c r="G32" s="659">
        <v>1998</v>
      </c>
      <c r="H32" s="659">
        <v>2017</v>
      </c>
      <c r="I32" s="660">
        <v>0</v>
      </c>
      <c r="J32" s="661"/>
      <c r="K32" s="35"/>
      <c r="L32" s="661">
        <f t="shared" si="0"/>
        <v>0</v>
      </c>
      <c r="M32" s="35"/>
      <c r="N32" s="664">
        <f t="shared" si="1"/>
        <v>0</v>
      </c>
    </row>
    <row r="33" spans="1:14" ht="13.5" thickBot="1">
      <c r="A33" s="674"/>
      <c r="B33" s="675"/>
      <c r="C33" s="675"/>
      <c r="D33" s="676"/>
      <c r="E33" s="682" t="s">
        <v>42</v>
      </c>
      <c r="F33" s="678"/>
      <c r="G33" s="679"/>
      <c r="H33" s="680" t="s">
        <v>43</v>
      </c>
      <c r="I33" s="681">
        <f>SUM(I30:I32)</f>
        <v>0</v>
      </c>
      <c r="J33" s="682">
        <f>SUM(J30:J32)</f>
        <v>0</v>
      </c>
      <c r="K33" s="685"/>
      <c r="L33" s="684">
        <f t="shared" si="0"/>
        <v>0</v>
      </c>
      <c r="M33" s="685"/>
      <c r="N33" s="703">
        <f>SUM(N30:N32)</f>
        <v>0</v>
      </c>
    </row>
    <row r="34" spans="1:14" ht="12.75">
      <c r="A34" s="687">
        <v>4444717</v>
      </c>
      <c r="B34" s="688" t="s">
        <v>20</v>
      </c>
      <c r="C34" s="688" t="s">
        <v>38</v>
      </c>
      <c r="D34" s="689">
        <v>98000</v>
      </c>
      <c r="E34" s="726">
        <f>'2017'!N34</f>
        <v>39505.77</v>
      </c>
      <c r="F34" s="691">
        <v>4.75</v>
      </c>
      <c r="G34" s="692">
        <v>2004</v>
      </c>
      <c r="H34" s="692">
        <v>2023</v>
      </c>
      <c r="I34" s="693">
        <v>7644.44</v>
      </c>
      <c r="J34" s="715">
        <v>5836.4</v>
      </c>
      <c r="K34" s="35"/>
      <c r="L34" s="715">
        <f t="shared" si="0"/>
        <v>1808.04</v>
      </c>
      <c r="M34" s="35"/>
      <c r="N34" s="727">
        <f t="shared" si="1"/>
        <v>33669.369999999995</v>
      </c>
    </row>
    <row r="35" spans="1:14" ht="12.75">
      <c r="A35" s="654">
        <v>4388738</v>
      </c>
      <c r="B35" s="655" t="s">
        <v>20</v>
      </c>
      <c r="C35" s="655" t="s">
        <v>38</v>
      </c>
      <c r="D35" s="656">
        <v>103291.38</v>
      </c>
      <c r="E35" s="726">
        <f>'2017'!N35</f>
        <v>30433.519999999997</v>
      </c>
      <c r="F35" s="658">
        <v>5.5</v>
      </c>
      <c r="G35" s="659">
        <v>2002</v>
      </c>
      <c r="H35" s="659">
        <v>2021</v>
      </c>
      <c r="I35" s="660">
        <v>8579.7</v>
      </c>
      <c r="J35" s="661">
        <v>7000.81</v>
      </c>
      <c r="K35" s="35"/>
      <c r="L35" s="661">
        <f t="shared" si="0"/>
        <v>1578.8900000000003</v>
      </c>
      <c r="M35" s="35"/>
      <c r="N35" s="664">
        <f t="shared" si="1"/>
        <v>23432.709999999995</v>
      </c>
    </row>
    <row r="36" spans="1:14" ht="12.75">
      <c r="A36" s="654">
        <v>4363583</v>
      </c>
      <c r="B36" s="655" t="s">
        <v>20</v>
      </c>
      <c r="C36" s="655" t="s">
        <v>38</v>
      </c>
      <c r="D36" s="656">
        <v>49982.94</v>
      </c>
      <c r="E36" s="726">
        <f>'2017'!N36</f>
        <v>11503.04</v>
      </c>
      <c r="F36" s="658">
        <v>5.75</v>
      </c>
      <c r="G36" s="659">
        <v>2001</v>
      </c>
      <c r="H36" s="659">
        <v>2020</v>
      </c>
      <c r="I36" s="660">
        <v>4229.3</v>
      </c>
      <c r="J36" s="661">
        <v>3619.15</v>
      </c>
      <c r="K36" s="35">
        <v>3030</v>
      </c>
      <c r="L36" s="661">
        <f t="shared" si="0"/>
        <v>610.1500000000001</v>
      </c>
      <c r="M36" s="35">
        <v>910</v>
      </c>
      <c r="N36" s="664">
        <f t="shared" si="1"/>
        <v>7883.890000000001</v>
      </c>
    </row>
    <row r="37" spans="1:14" ht="12.75">
      <c r="A37" s="699">
        <v>4317938</v>
      </c>
      <c r="B37" s="667" t="s">
        <v>20</v>
      </c>
      <c r="C37" s="667" t="s">
        <v>38</v>
      </c>
      <c r="D37" s="668">
        <v>50396.44</v>
      </c>
      <c r="E37" s="726">
        <f>'2017'!N37</f>
        <v>0</v>
      </c>
      <c r="F37" s="669">
        <v>6.5</v>
      </c>
      <c r="G37" s="670">
        <v>1998</v>
      </c>
      <c r="H37" s="670">
        <v>2017</v>
      </c>
      <c r="I37" s="671"/>
      <c r="J37" s="672"/>
      <c r="K37" s="35" t="s">
        <v>42</v>
      </c>
      <c r="L37" s="672">
        <f>I37-J37</f>
        <v>0</v>
      </c>
      <c r="M37" s="35" t="s">
        <v>42</v>
      </c>
      <c r="N37" s="728">
        <f>E37-J37</f>
        <v>0</v>
      </c>
    </row>
    <row r="38" spans="1:14" ht="13.5" thickBot="1">
      <c r="A38" s="666" t="s">
        <v>94</v>
      </c>
      <c r="B38" s="655" t="s">
        <v>20</v>
      </c>
      <c r="C38" s="655" t="s">
        <v>85</v>
      </c>
      <c r="D38" s="668">
        <v>130000</v>
      </c>
      <c r="E38" s="726">
        <f>'2017'!N38</f>
        <v>85060.77</v>
      </c>
      <c r="F38" s="669">
        <v>4.39</v>
      </c>
      <c r="G38" s="670">
        <v>2008</v>
      </c>
      <c r="H38" s="670">
        <v>2028</v>
      </c>
      <c r="I38" s="671">
        <v>9832.52</v>
      </c>
      <c r="J38" s="672">
        <v>6165.29</v>
      </c>
      <c r="K38" s="35"/>
      <c r="L38" s="672">
        <f>I38-J38</f>
        <v>3667.2300000000005</v>
      </c>
      <c r="M38" s="35"/>
      <c r="N38" s="664">
        <f>E38-J38</f>
        <v>78895.48000000001</v>
      </c>
    </row>
    <row r="39" spans="1:14" ht="13.5" thickBot="1">
      <c r="A39" s="729"/>
      <c r="B39" s="675"/>
      <c r="C39" s="675"/>
      <c r="D39" s="676"/>
      <c r="E39" s="682" t="s">
        <v>42</v>
      </c>
      <c r="F39" s="678"/>
      <c r="G39" s="679"/>
      <c r="H39" s="680" t="s">
        <v>43</v>
      </c>
      <c r="I39" s="681">
        <f>SUM(I34:I38)</f>
        <v>30285.96</v>
      </c>
      <c r="J39" s="682">
        <f>SUM(J34:J38)</f>
        <v>22621.65</v>
      </c>
      <c r="K39" s="685"/>
      <c r="L39" s="682">
        <f t="shared" si="0"/>
        <v>7664.309999999998</v>
      </c>
      <c r="M39" s="685"/>
      <c r="N39" s="703">
        <f>SUM(N34:N38)</f>
        <v>143881.45</v>
      </c>
    </row>
    <row r="40" spans="1:14" s="673" customFormat="1" ht="33" customHeight="1" thickBot="1">
      <c r="A40" s="666" t="s">
        <v>105</v>
      </c>
      <c r="B40" s="667" t="s">
        <v>20</v>
      </c>
      <c r="C40" s="730" t="s">
        <v>100</v>
      </c>
      <c r="D40" s="668">
        <v>50000</v>
      </c>
      <c r="E40" s="731">
        <f>'2017'!N40</f>
        <v>34920.54</v>
      </c>
      <c r="F40" s="669">
        <v>4.32</v>
      </c>
      <c r="G40" s="670">
        <v>2010</v>
      </c>
      <c r="H40" s="670">
        <v>2029</v>
      </c>
      <c r="I40" s="671">
        <v>3761.52</v>
      </c>
      <c r="J40" s="700">
        <v>2274.51</v>
      </c>
      <c r="K40" s="66">
        <v>3030</v>
      </c>
      <c r="L40" s="701">
        <f>I40-J40</f>
        <v>1487.0099999999998</v>
      </c>
      <c r="M40" s="66">
        <v>930</v>
      </c>
      <c r="N40" s="664">
        <f>E40-J40</f>
        <v>32646.03</v>
      </c>
    </row>
    <row r="41" spans="1:14" ht="13.5" thickBot="1">
      <c r="A41" s="674"/>
      <c r="B41" s="675"/>
      <c r="C41" s="675"/>
      <c r="D41" s="676"/>
      <c r="E41" s="682" t="s">
        <v>42</v>
      </c>
      <c r="F41" s="678"/>
      <c r="G41" s="679"/>
      <c r="H41" s="680" t="s">
        <v>43</v>
      </c>
      <c r="I41" s="732">
        <f>SUM(I40:I40)</f>
        <v>3761.52</v>
      </c>
      <c r="J41" s="677">
        <f>SUM(J40:J40)</f>
        <v>2274.51</v>
      </c>
      <c r="K41" s="685"/>
      <c r="L41" s="684">
        <f t="shared" si="0"/>
        <v>1487.0099999999998</v>
      </c>
      <c r="M41" s="685"/>
      <c r="N41" s="703">
        <f>SUM(N40:N40)</f>
        <v>32646.03</v>
      </c>
    </row>
    <row r="42" spans="1:14" ht="13.5" hidden="1" thickBot="1">
      <c r="A42" s="733"/>
      <c r="B42" s="734"/>
      <c r="C42" s="734"/>
      <c r="D42" s="735"/>
      <c r="E42" s="736"/>
      <c r="F42" s="737"/>
      <c r="G42" s="738"/>
      <c r="H42" s="738"/>
      <c r="I42" s="739"/>
      <c r="J42" s="736"/>
      <c r="K42" s="740"/>
      <c r="L42" s="715">
        <f t="shared" si="0"/>
        <v>0</v>
      </c>
      <c r="M42" s="66"/>
      <c r="N42" s="741">
        <f t="shared" si="1"/>
        <v>0</v>
      </c>
    </row>
    <row r="43" spans="1:14" ht="13.5" hidden="1" thickBot="1">
      <c r="A43" s="733"/>
      <c r="B43" s="734"/>
      <c r="C43" s="734"/>
      <c r="D43" s="735"/>
      <c r="E43" s="736"/>
      <c r="F43" s="737"/>
      <c r="G43" s="738"/>
      <c r="H43" s="738"/>
      <c r="I43" s="739"/>
      <c r="J43" s="736"/>
      <c r="K43" s="740"/>
      <c r="L43" s="661">
        <f t="shared" si="0"/>
        <v>0</v>
      </c>
      <c r="M43" s="27"/>
      <c r="N43" s="741">
        <f t="shared" si="1"/>
        <v>0</v>
      </c>
    </row>
    <row r="44" spans="1:14" ht="13.5" hidden="1" thickBot="1">
      <c r="A44" s="733"/>
      <c r="B44" s="734"/>
      <c r="C44" s="734"/>
      <c r="D44" s="735"/>
      <c r="E44" s="736"/>
      <c r="F44" s="737"/>
      <c r="G44" s="738"/>
      <c r="H44" s="738"/>
      <c r="I44" s="739"/>
      <c r="J44" s="736"/>
      <c r="K44" s="740"/>
      <c r="L44" s="661">
        <f t="shared" si="0"/>
        <v>0</v>
      </c>
      <c r="M44" s="27"/>
      <c r="N44" s="741">
        <f t="shared" si="1"/>
        <v>0</v>
      </c>
    </row>
    <row r="45" spans="1:14" ht="13.5" hidden="1" thickBot="1">
      <c r="A45" s="733"/>
      <c r="B45" s="734"/>
      <c r="C45" s="734"/>
      <c r="D45" s="735"/>
      <c r="E45" s="736"/>
      <c r="F45" s="737"/>
      <c r="G45" s="738"/>
      <c r="H45" s="738"/>
      <c r="I45" s="739"/>
      <c r="J45" s="736"/>
      <c r="K45" s="740"/>
      <c r="L45" s="661">
        <f t="shared" si="0"/>
        <v>0</v>
      </c>
      <c r="M45" s="27"/>
      <c r="N45" s="741">
        <f t="shared" si="1"/>
        <v>0</v>
      </c>
    </row>
    <row r="46" spans="1:14" ht="13.5" hidden="1" thickBot="1">
      <c r="A46" s="733"/>
      <c r="B46" s="734"/>
      <c r="C46" s="734"/>
      <c r="D46" s="735"/>
      <c r="E46" s="736"/>
      <c r="F46" s="737"/>
      <c r="G46" s="738"/>
      <c r="H46" s="738"/>
      <c r="I46" s="739"/>
      <c r="J46" s="736"/>
      <c r="K46" s="740"/>
      <c r="L46" s="661">
        <f t="shared" si="0"/>
        <v>0</v>
      </c>
      <c r="M46" s="27"/>
      <c r="N46" s="741">
        <f t="shared" si="1"/>
        <v>0</v>
      </c>
    </row>
    <row r="47" spans="1:14" ht="13.5" hidden="1" thickBot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661">
        <f t="shared" si="0"/>
        <v>0</v>
      </c>
      <c r="M47" s="27"/>
      <c r="N47" s="741">
        <f t="shared" si="1"/>
        <v>0</v>
      </c>
    </row>
    <row r="48" spans="1:14" ht="13.5" hidden="1" thickBot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0"/>
        <v>0</v>
      </c>
      <c r="M48" s="27"/>
      <c r="N48" s="741">
        <f t="shared" si="1"/>
        <v>0</v>
      </c>
    </row>
    <row r="49" spans="1:14" ht="13.5" hidden="1" thickBot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0"/>
        <v>0</v>
      </c>
      <c r="M49" s="27"/>
      <c r="N49" s="741">
        <f t="shared" si="1"/>
        <v>0</v>
      </c>
    </row>
    <row r="50" spans="1:14" ht="13.5" hidden="1" thickBot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0"/>
        <v>0</v>
      </c>
      <c r="M50" s="27"/>
      <c r="N50" s="741">
        <f t="shared" si="1"/>
        <v>0</v>
      </c>
    </row>
    <row r="51" spans="1:14" ht="13.5" hidden="1" thickBot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0"/>
        <v>0</v>
      </c>
      <c r="M51" s="27"/>
      <c r="N51" s="741">
        <f t="shared" si="1"/>
        <v>0</v>
      </c>
    </row>
    <row r="52" spans="1:14" ht="13.5" hidden="1" thickBot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0"/>
        <v>0</v>
      </c>
      <c r="M52" s="27"/>
      <c r="N52" s="741">
        <f t="shared" si="1"/>
        <v>0</v>
      </c>
    </row>
    <row r="53" spans="1:14" ht="13.5" hidden="1" thickBot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0"/>
        <v>0</v>
      </c>
      <c r="M53" s="27"/>
      <c r="N53" s="741">
        <f t="shared" si="1"/>
        <v>0</v>
      </c>
    </row>
    <row r="54" spans="1:14" ht="13.5" hidden="1" thickBot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0"/>
        <v>0</v>
      </c>
      <c r="M54" s="27"/>
      <c r="N54" s="741">
        <f t="shared" si="1"/>
        <v>0</v>
      </c>
    </row>
    <row r="55" spans="1:14" ht="13.5" hidden="1" thickBot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0"/>
        <v>0</v>
      </c>
      <c r="M55" s="27"/>
      <c r="N55" s="741">
        <f t="shared" si="1"/>
        <v>0</v>
      </c>
    </row>
    <row r="56" spans="1:14" ht="13.5" hidden="1" thickBot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0"/>
        <v>0</v>
      </c>
      <c r="M56" s="27"/>
      <c r="N56" s="741">
        <f t="shared" si="1"/>
        <v>0</v>
      </c>
    </row>
    <row r="57" spans="1:14" ht="13.5" hidden="1" thickBot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0"/>
        <v>0</v>
      </c>
      <c r="M57" s="27"/>
      <c r="N57" s="741">
        <f t="shared" si="1"/>
        <v>0</v>
      </c>
    </row>
    <row r="58" spans="1:14" ht="13.5" hidden="1" thickBot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0"/>
        <v>0</v>
      </c>
      <c r="M58" s="27"/>
      <c r="N58" s="741">
        <f t="shared" si="1"/>
        <v>0</v>
      </c>
    </row>
    <row r="59" spans="1:14" ht="13.5" hidden="1" thickBot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0"/>
        <v>0</v>
      </c>
      <c r="M59" s="27"/>
      <c r="N59" s="741">
        <f t="shared" si="1"/>
        <v>0</v>
      </c>
    </row>
    <row r="60" spans="1:14" ht="13.5" hidden="1" thickBot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0"/>
        <v>0</v>
      </c>
      <c r="M60" s="27"/>
      <c r="N60" s="741">
        <f t="shared" si="1"/>
        <v>0</v>
      </c>
    </row>
    <row r="61" spans="1:14" ht="13.5" hidden="1" thickBot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0"/>
        <v>0</v>
      </c>
      <c r="M61" s="27"/>
      <c r="N61" s="741">
        <f t="shared" si="1"/>
        <v>0</v>
      </c>
    </row>
    <row r="62" spans="1:14" ht="13.5" hidden="1" thickBot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0"/>
        <v>0</v>
      </c>
      <c r="M62" s="27"/>
      <c r="N62" s="741">
        <f t="shared" si="1"/>
        <v>0</v>
      </c>
    </row>
    <row r="63" spans="1:14" ht="13.5" hidden="1" thickBot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0"/>
        <v>0</v>
      </c>
      <c r="M63" s="27"/>
      <c r="N63" s="741">
        <f t="shared" si="1"/>
        <v>0</v>
      </c>
    </row>
    <row r="64" spans="1:14" ht="13.5" hidden="1" thickBot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0"/>
        <v>0</v>
      </c>
      <c r="M64" s="27"/>
      <c r="N64" s="741">
        <f t="shared" si="1"/>
        <v>0</v>
      </c>
    </row>
    <row r="65" spans="1:14" ht="13.5" hidden="1" thickBot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0"/>
        <v>0</v>
      </c>
      <c r="M65" s="27"/>
      <c r="N65" s="741">
        <f t="shared" si="1"/>
        <v>0</v>
      </c>
    </row>
    <row r="66" spans="1:14" ht="13.5" hidden="1" thickBot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0"/>
        <v>0</v>
      </c>
      <c r="M66" s="27"/>
      <c r="N66" s="741">
        <f t="shared" si="1"/>
        <v>0</v>
      </c>
    </row>
    <row r="67" spans="1:14" ht="13.5" hidden="1" thickBot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0"/>
        <v>0</v>
      </c>
      <c r="M67" s="27"/>
      <c r="N67" s="741">
        <f t="shared" si="1"/>
        <v>0</v>
      </c>
    </row>
    <row r="68" spans="1:14" ht="13.5" hidden="1" thickBot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>I68-J68</f>
        <v>0</v>
      </c>
      <c r="M68" s="27"/>
      <c r="N68" s="741">
        <f>E68-J68</f>
        <v>0</v>
      </c>
    </row>
    <row r="69" spans="1:14" ht="13.5" hidden="1" thickBot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>I69-J69</f>
        <v>0</v>
      </c>
      <c r="M69" s="27"/>
      <c r="N69" s="741">
        <f>E69-J69</f>
        <v>0</v>
      </c>
    </row>
    <row r="70" spans="1:14" ht="13.5" hidden="1" thickBot="1">
      <c r="A70" s="742"/>
      <c r="B70" s="705"/>
      <c r="C70" s="705"/>
      <c r="D70" s="706"/>
      <c r="E70" s="743"/>
      <c r="F70" s="708"/>
      <c r="G70" s="709"/>
      <c r="H70" s="709"/>
      <c r="I70" s="710"/>
      <c r="J70" s="743"/>
      <c r="K70" s="744"/>
      <c r="L70" s="672">
        <f>I70-J70</f>
        <v>0</v>
      </c>
      <c r="M70" s="27"/>
      <c r="N70" s="713">
        <f>E70-J70</f>
        <v>0</v>
      </c>
    </row>
    <row r="71" spans="1:14" ht="14.25" thickBot="1" thickTop="1">
      <c r="A71" s="745"/>
      <c r="B71" s="746"/>
      <c r="C71" s="747" t="s">
        <v>8</v>
      </c>
      <c r="D71" s="748">
        <f>SUM(D3:D70)</f>
        <v>3185279.25</v>
      </c>
      <c r="E71" s="749">
        <f>SUM(E3:E70)</f>
        <v>1287087.7300000004</v>
      </c>
      <c r="F71" s="135"/>
      <c r="G71" s="135"/>
      <c r="H71" s="135"/>
      <c r="I71" s="750">
        <f>+I12+I17+I19+I29+I33+I39+I41</f>
        <v>218733.53999999998</v>
      </c>
      <c r="J71" s="750">
        <f>+J12+J17+J19+J29+J33+J39+J41</f>
        <v>158659.9</v>
      </c>
      <c r="K71" s="135"/>
      <c r="L71" s="750">
        <f>+L12+L17+L19+L29+L33+L39+L41</f>
        <v>60073.63999999999</v>
      </c>
      <c r="M71" s="135"/>
      <c r="N71" s="751">
        <f>+N12+N17+N19+N29+N33+N39+N41</f>
        <v>1128427.83</v>
      </c>
    </row>
    <row r="72" ht="13.5" thickTop="1"/>
    <row r="74" ht="12.75">
      <c r="A74" s="174" t="s">
        <v>42</v>
      </c>
    </row>
    <row r="75" ht="12.75">
      <c r="J75" s="753"/>
    </row>
    <row r="76" ht="12.75">
      <c r="J76" s="754"/>
    </row>
  </sheetData>
  <sheetProtection/>
  <mergeCells count="1">
    <mergeCell ref="A1:N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3" r:id="rId1"/>
  <rowBreaks count="1" manualBreakCount="1">
    <brk id="1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0.7109375" style="174" customWidth="1"/>
    <col min="2" max="2" width="11.7109375" style="174" customWidth="1"/>
    <col min="3" max="3" width="33.00390625" style="174" customWidth="1"/>
    <col min="4" max="5" width="12.00390625" style="174" customWidth="1"/>
    <col min="6" max="8" width="9.140625" style="174" customWidth="1"/>
    <col min="9" max="9" width="14.00390625" style="174" customWidth="1"/>
    <col min="10" max="10" width="11.8515625" style="174" customWidth="1"/>
    <col min="11" max="11" width="9.140625" style="174" customWidth="1"/>
    <col min="12" max="12" width="10.7109375" style="24" customWidth="1"/>
    <col min="13" max="13" width="9.140625" style="24" customWidth="1"/>
    <col min="14" max="14" width="12.00390625" style="752" customWidth="1"/>
    <col min="15" max="15" width="2.00390625" style="174" customWidth="1"/>
    <col min="16" max="16384" width="9.140625" style="174" customWidth="1"/>
  </cols>
  <sheetData>
    <row r="1" spans="1:14" ht="24.75" customHeight="1" thickBot="1">
      <c r="A1" s="954" t="s">
        <v>152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4.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153</v>
      </c>
      <c r="F2" s="138" t="s">
        <v>3</v>
      </c>
      <c r="G2" s="138" t="s">
        <v>4</v>
      </c>
      <c r="H2" s="138" t="s">
        <v>5</v>
      </c>
      <c r="I2" s="138" t="s">
        <v>154</v>
      </c>
      <c r="J2" s="138" t="s">
        <v>155</v>
      </c>
      <c r="K2" s="138" t="s">
        <v>6</v>
      </c>
      <c r="L2" s="138" t="s">
        <v>156</v>
      </c>
      <c r="M2" s="138" t="s">
        <v>6</v>
      </c>
      <c r="N2" s="139" t="s">
        <v>157</v>
      </c>
    </row>
    <row r="3" spans="1:15" s="810" customFormat="1" ht="12.75">
      <c r="A3" s="811">
        <v>4425594</v>
      </c>
      <c r="B3" s="803" t="s">
        <v>181</v>
      </c>
      <c r="C3" s="803" t="s">
        <v>15</v>
      </c>
      <c r="D3" s="812">
        <v>413165</v>
      </c>
      <c r="E3" s="818">
        <f>'2018'!N3</f>
        <v>142368.95</v>
      </c>
      <c r="F3" s="825">
        <v>0.97</v>
      </c>
      <c r="G3" s="814">
        <v>2004</v>
      </c>
      <c r="H3" s="814">
        <v>2023</v>
      </c>
      <c r="I3" s="821">
        <v>28549.8</v>
      </c>
      <c r="J3" s="822">
        <v>25838.6</v>
      </c>
      <c r="K3" s="956">
        <v>3030</v>
      </c>
      <c r="L3" s="827">
        <f>I3-J3</f>
        <v>2711.2000000000007</v>
      </c>
      <c r="M3" s="803" t="s">
        <v>42</v>
      </c>
      <c r="N3" s="819">
        <f>E3-J3</f>
        <v>116530.35</v>
      </c>
      <c r="O3" s="820"/>
    </row>
    <row r="4" spans="1:14" s="810" customFormat="1" ht="12.75">
      <c r="A4" s="811">
        <v>4403430</v>
      </c>
      <c r="B4" s="803" t="s">
        <v>181</v>
      </c>
      <c r="C4" s="803" t="s">
        <v>15</v>
      </c>
      <c r="D4" s="812">
        <v>154937.07</v>
      </c>
      <c r="E4" s="818">
        <f>'2018'!N4</f>
        <v>34571.630000000005</v>
      </c>
      <c r="F4" s="813">
        <v>5.25</v>
      </c>
      <c r="G4" s="814">
        <v>2002.2021</v>
      </c>
      <c r="H4" s="814">
        <v>2021</v>
      </c>
      <c r="I4" s="815">
        <v>12605.48</v>
      </c>
      <c r="J4" s="816">
        <v>10932.1</v>
      </c>
      <c r="K4" s="957"/>
      <c r="L4" s="816">
        <f aca="true" t="shared" si="0" ref="L4:L69">I4-J4</f>
        <v>1673.3799999999992</v>
      </c>
      <c r="M4" s="808"/>
      <c r="N4" s="817">
        <f aca="true" t="shared" si="1" ref="N4:N69">E4-J4</f>
        <v>23639.530000000006</v>
      </c>
    </row>
    <row r="5" spans="1:14" ht="12" customHeight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'2018'!N5</f>
        <v>16325.050000000001</v>
      </c>
      <c r="F5" s="658">
        <v>5.75</v>
      </c>
      <c r="G5" s="659">
        <v>2001</v>
      </c>
      <c r="H5" s="659">
        <v>2020</v>
      </c>
      <c r="I5" s="660">
        <v>8757.58</v>
      </c>
      <c r="J5" s="661">
        <v>7931.28</v>
      </c>
      <c r="K5" s="957"/>
      <c r="L5" s="661">
        <f t="shared" si="0"/>
        <v>826.3000000000002</v>
      </c>
      <c r="M5" s="35"/>
      <c r="N5" s="664">
        <f t="shared" si="1"/>
        <v>8393.77</v>
      </c>
    </row>
    <row r="6" spans="1:14" ht="12.75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'2018'!N6</f>
        <v>12243.82</v>
      </c>
      <c r="F6" s="658">
        <v>5.75</v>
      </c>
      <c r="G6" s="659">
        <v>2001</v>
      </c>
      <c r="H6" s="659">
        <v>2020</v>
      </c>
      <c r="I6" s="660">
        <v>6568.18</v>
      </c>
      <c r="J6" s="661">
        <v>5948.46</v>
      </c>
      <c r="K6" s="957"/>
      <c r="L6" s="661">
        <f t="shared" si="0"/>
        <v>619.7200000000003</v>
      </c>
      <c r="M6" s="35"/>
      <c r="N6" s="664">
        <f t="shared" si="1"/>
        <v>6295.36</v>
      </c>
    </row>
    <row r="7" spans="1:14" s="810" customFormat="1" ht="12.75">
      <c r="A7" s="811">
        <v>4354048</v>
      </c>
      <c r="B7" s="803" t="s">
        <v>181</v>
      </c>
      <c r="C7" s="803" t="s">
        <v>15</v>
      </c>
      <c r="D7" s="812">
        <v>179245.09</v>
      </c>
      <c r="E7" s="818">
        <f>'2018'!N7</f>
        <v>8953.810000000001</v>
      </c>
      <c r="F7" s="813">
        <v>0</v>
      </c>
      <c r="G7" s="814">
        <v>2000</v>
      </c>
      <c r="H7" s="774">
        <v>2019</v>
      </c>
      <c r="I7" s="815">
        <f>9753.84</f>
        <v>9753.84</v>
      </c>
      <c r="J7" s="816">
        <v>8953.81</v>
      </c>
      <c r="K7" s="957"/>
      <c r="L7" s="816">
        <f t="shared" si="0"/>
        <v>800.0300000000007</v>
      </c>
      <c r="M7" s="808">
        <v>283</v>
      </c>
      <c r="N7" s="817">
        <f t="shared" si="1"/>
        <v>0</v>
      </c>
    </row>
    <row r="8" spans="1:14" ht="12.75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'2018'!N8</f>
        <v>0</v>
      </c>
      <c r="F8" s="658">
        <v>6.5</v>
      </c>
      <c r="G8" s="659">
        <v>1998</v>
      </c>
      <c r="H8" s="659">
        <v>2017</v>
      </c>
      <c r="I8" s="660">
        <v>0</v>
      </c>
      <c r="J8" s="661"/>
      <c r="K8" s="957"/>
      <c r="L8" s="661">
        <f t="shared" si="0"/>
        <v>0</v>
      </c>
      <c r="M8" s="35"/>
      <c r="N8" s="664">
        <f t="shared" si="1"/>
        <v>0</v>
      </c>
    </row>
    <row r="9" spans="1:14" ht="12.75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'2018'!N9</f>
        <v>0</v>
      </c>
      <c r="F9" s="658">
        <v>6.5</v>
      </c>
      <c r="G9" s="659">
        <v>1998</v>
      </c>
      <c r="H9" s="659">
        <v>2017</v>
      </c>
      <c r="I9" s="660">
        <v>0</v>
      </c>
      <c r="J9" s="661"/>
      <c r="K9" s="957"/>
      <c r="L9" s="661">
        <f>I9-J9</f>
        <v>0</v>
      </c>
      <c r="M9" s="35"/>
      <c r="N9" s="664">
        <f>E9-J9</f>
        <v>0</v>
      </c>
    </row>
    <row r="10" spans="1:14" ht="12.75">
      <c r="A10" s="666" t="s">
        <v>77</v>
      </c>
      <c r="B10" s="667" t="s">
        <v>7</v>
      </c>
      <c r="C10" s="667" t="s">
        <v>72</v>
      </c>
      <c r="D10" s="668">
        <v>80000</v>
      </c>
      <c r="E10" s="657">
        <f>'2018'!N10</f>
        <v>34920.729999999996</v>
      </c>
      <c r="F10" s="669">
        <v>3.72</v>
      </c>
      <c r="G10" s="670">
        <v>2006</v>
      </c>
      <c r="H10" s="670">
        <v>2025</v>
      </c>
      <c r="I10" s="671">
        <v>5716.4</v>
      </c>
      <c r="J10" s="672">
        <v>4451.6</v>
      </c>
      <c r="K10" s="957"/>
      <c r="L10" s="672">
        <f>I10-J10</f>
        <v>1264.7999999999993</v>
      </c>
      <c r="M10" s="35"/>
      <c r="N10" s="664">
        <f>E10-J10</f>
        <v>30469.129999999997</v>
      </c>
    </row>
    <row r="11" spans="1:14" s="673" customFormat="1" ht="13.5" thickBot="1">
      <c r="A11" s="755" t="s">
        <v>102</v>
      </c>
      <c r="B11" s="655" t="s">
        <v>20</v>
      </c>
      <c r="C11" s="655" t="s">
        <v>92</v>
      </c>
      <c r="D11" s="656">
        <v>60000</v>
      </c>
      <c r="E11" s="657">
        <f>'2018'!N11</f>
        <v>39619.59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2830.83</v>
      </c>
      <c r="K11" s="958"/>
      <c r="L11" s="672">
        <f>I11-J11</f>
        <v>1813.2700000000004</v>
      </c>
      <c r="M11" s="66"/>
      <c r="N11" s="664">
        <f>E11-J11</f>
        <v>36788.759999999995</v>
      </c>
    </row>
    <row r="12" spans="1:14" ht="13.5" thickBot="1">
      <c r="A12" s="674"/>
      <c r="B12" s="675"/>
      <c r="C12" s="675"/>
      <c r="D12" s="676"/>
      <c r="E12" s="677" t="s">
        <v>42</v>
      </c>
      <c r="F12" s="678"/>
      <c r="G12" s="679"/>
      <c r="H12" s="680" t="s">
        <v>43</v>
      </c>
      <c r="I12" s="681">
        <f>SUM(I3:I11)</f>
        <v>76595.38</v>
      </c>
      <c r="J12" s="682">
        <f>SUM(J3:J11)</f>
        <v>66886.68</v>
      </c>
      <c r="K12" s="683"/>
      <c r="L12" s="684">
        <f t="shared" si="0"/>
        <v>9708.700000000012</v>
      </c>
      <c r="M12" s="685"/>
      <c r="N12" s="686">
        <f>SUM(N3:N11)</f>
        <v>222116.89999999997</v>
      </c>
    </row>
    <row r="13" spans="1:14" ht="12.75">
      <c r="A13" s="687">
        <v>4367661</v>
      </c>
      <c r="B13" s="688" t="s">
        <v>20</v>
      </c>
      <c r="C13" s="688" t="s">
        <v>21</v>
      </c>
      <c r="D13" s="689">
        <v>51645.69</v>
      </c>
      <c r="E13" s="690">
        <f>'2018'!N13</f>
        <v>8162.51</v>
      </c>
      <c r="F13" s="691">
        <v>5.75</v>
      </c>
      <c r="G13" s="692">
        <v>2001</v>
      </c>
      <c r="H13" s="692">
        <v>2020</v>
      </c>
      <c r="I13" s="693">
        <v>4378.78</v>
      </c>
      <c r="J13" s="694">
        <v>3965.64</v>
      </c>
      <c r="K13" s="66"/>
      <c r="L13" s="695">
        <f t="shared" si="0"/>
        <v>413.1399999999999</v>
      </c>
      <c r="M13" s="66"/>
      <c r="N13" s="696">
        <f t="shared" si="1"/>
        <v>4196.870000000001</v>
      </c>
    </row>
    <row r="14" spans="1:14" ht="12.75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'2018'!N14</f>
        <v>12243.82</v>
      </c>
      <c r="F14" s="658">
        <v>5.75</v>
      </c>
      <c r="G14" s="659">
        <v>2001</v>
      </c>
      <c r="H14" s="659">
        <v>2020</v>
      </c>
      <c r="I14" s="660">
        <v>6568.18</v>
      </c>
      <c r="J14" s="697">
        <v>5948.46</v>
      </c>
      <c r="K14" s="66"/>
      <c r="L14" s="698">
        <f t="shared" si="0"/>
        <v>619.7200000000003</v>
      </c>
      <c r="M14" s="66"/>
      <c r="N14" s="664">
        <f t="shared" si="1"/>
        <v>6295.36</v>
      </c>
    </row>
    <row r="15" spans="1:14" ht="12.75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'2018'!N15</f>
        <v>0</v>
      </c>
      <c r="F15" s="658">
        <v>4.85</v>
      </c>
      <c r="G15" s="659">
        <v>1999</v>
      </c>
      <c r="H15" s="659">
        <v>2018</v>
      </c>
      <c r="I15" s="660">
        <v>0</v>
      </c>
      <c r="J15" s="697"/>
      <c r="K15" s="66">
        <v>3030</v>
      </c>
      <c r="L15" s="698">
        <f t="shared" si="0"/>
        <v>0</v>
      </c>
      <c r="M15" s="66">
        <v>518</v>
      </c>
      <c r="N15" s="664">
        <f t="shared" si="1"/>
        <v>0</v>
      </c>
    </row>
    <row r="16" spans="1:14" s="673" customFormat="1" ht="13.5" thickBot="1">
      <c r="A16" s="699">
        <v>4555239</v>
      </c>
      <c r="B16" s="667" t="s">
        <v>20</v>
      </c>
      <c r="C16" s="667" t="s">
        <v>164</v>
      </c>
      <c r="D16" s="668">
        <v>127500</v>
      </c>
      <c r="E16" s="690">
        <f>'2018'!N16</f>
        <v>99774.32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5076.83</v>
      </c>
      <c r="K16" s="66"/>
      <c r="L16" s="701">
        <f>I16-J16</f>
        <v>6418.93</v>
      </c>
      <c r="M16" s="66"/>
      <c r="N16" s="664">
        <f>E16-J16</f>
        <v>94697.49</v>
      </c>
    </row>
    <row r="17" spans="1:14" ht="13.5" thickBot="1">
      <c r="A17" s="674"/>
      <c r="B17" s="675"/>
      <c r="C17" s="675"/>
      <c r="D17" s="676"/>
      <c r="E17" s="702" t="s">
        <v>42</v>
      </c>
      <c r="F17" s="678"/>
      <c r="G17" s="679"/>
      <c r="H17" s="680" t="s">
        <v>43</v>
      </c>
      <c r="I17" s="681">
        <f>SUM(I13:I16)</f>
        <v>22442.72</v>
      </c>
      <c r="J17" s="682">
        <f>SUM(J13:J16)</f>
        <v>14990.93</v>
      </c>
      <c r="K17" s="683"/>
      <c r="L17" s="684">
        <f t="shared" si="0"/>
        <v>7451.790000000001</v>
      </c>
      <c r="M17" s="685"/>
      <c r="N17" s="703">
        <f>SUM(N13:N16)</f>
        <v>105189.72</v>
      </c>
    </row>
    <row r="18" spans="1:14" s="673" customFormat="1" ht="13.5" thickBot="1">
      <c r="A18" s="704">
        <v>4550239</v>
      </c>
      <c r="B18" s="705" t="s">
        <v>20</v>
      </c>
      <c r="C18" s="705" t="s">
        <v>93</v>
      </c>
      <c r="D18" s="706">
        <v>114950</v>
      </c>
      <c r="E18" s="707">
        <f>'2018'!N18</f>
        <v>86645.15000000001</v>
      </c>
      <c r="F18" s="708">
        <v>4.93</v>
      </c>
      <c r="G18" s="709">
        <v>2012</v>
      </c>
      <c r="H18" s="709">
        <v>2031</v>
      </c>
      <c r="I18" s="710">
        <v>9111.38</v>
      </c>
      <c r="J18" s="711">
        <v>4891.63</v>
      </c>
      <c r="K18" s="35">
        <v>3030</v>
      </c>
      <c r="L18" s="712">
        <f>I18-J18</f>
        <v>4219.749999999999</v>
      </c>
      <c r="M18" s="66">
        <v>645</v>
      </c>
      <c r="N18" s="713">
        <f>E18-J18</f>
        <v>81753.52</v>
      </c>
    </row>
    <row r="19" spans="1:14" ht="13.5" thickBot="1">
      <c r="A19" s="674"/>
      <c r="B19" s="675"/>
      <c r="C19" s="675"/>
      <c r="D19" s="676"/>
      <c r="E19" s="677" t="s">
        <v>42</v>
      </c>
      <c r="F19" s="678"/>
      <c r="G19" s="680"/>
      <c r="H19" s="680" t="s">
        <v>43</v>
      </c>
      <c r="I19" s="681">
        <f>SUM(I18:I18)</f>
        <v>9111.38</v>
      </c>
      <c r="J19" s="682">
        <f>SUM(J18:J18)</f>
        <v>4891.63</v>
      </c>
      <c r="K19" s="685"/>
      <c r="L19" s="684">
        <f t="shared" si="0"/>
        <v>4219.749999999999</v>
      </c>
      <c r="M19" s="685"/>
      <c r="N19" s="703">
        <f>SUM(N18:N18)</f>
        <v>81753.52</v>
      </c>
    </row>
    <row r="20" spans="1:14" ht="12.75">
      <c r="A20" s="714" t="s">
        <v>28</v>
      </c>
      <c r="B20" s="688" t="s">
        <v>20</v>
      </c>
      <c r="C20" s="688" t="s">
        <v>29</v>
      </c>
      <c r="D20" s="689">
        <v>17559.53</v>
      </c>
      <c r="E20" s="690">
        <f>'2018'!N20</f>
        <v>2775.2299999999996</v>
      </c>
      <c r="F20" s="691">
        <v>5.75</v>
      </c>
      <c r="G20" s="692">
        <v>2001</v>
      </c>
      <c r="H20" s="692">
        <v>2020</v>
      </c>
      <c r="I20" s="693">
        <v>1488.78</v>
      </c>
      <c r="J20" s="715">
        <v>1348.32</v>
      </c>
      <c r="K20" s="35"/>
      <c r="L20" s="715">
        <f t="shared" si="0"/>
        <v>140.46000000000004</v>
      </c>
      <c r="M20" s="959">
        <v>760</v>
      </c>
      <c r="N20" s="716">
        <f t="shared" si="1"/>
        <v>1426.9099999999996</v>
      </c>
    </row>
    <row r="21" spans="1:14" ht="12.75">
      <c r="A21" s="654">
        <v>4364549</v>
      </c>
      <c r="B21" s="655" t="s">
        <v>20</v>
      </c>
      <c r="C21" s="655" t="s">
        <v>29</v>
      </c>
      <c r="D21" s="656">
        <v>137377.54</v>
      </c>
      <c r="E21" s="690">
        <f>'2018'!N21</f>
        <v>21712.430000000004</v>
      </c>
      <c r="F21" s="658">
        <v>5.75</v>
      </c>
      <c r="G21" s="659">
        <v>2001</v>
      </c>
      <c r="H21" s="659">
        <v>2020</v>
      </c>
      <c r="I21" s="660">
        <v>11647.56</v>
      </c>
      <c r="J21" s="661">
        <v>10548.59</v>
      </c>
      <c r="K21" s="35"/>
      <c r="L21" s="661">
        <f t="shared" si="0"/>
        <v>1098.9699999999993</v>
      </c>
      <c r="M21" s="957"/>
      <c r="N21" s="664">
        <f t="shared" si="1"/>
        <v>11163.840000000004</v>
      </c>
    </row>
    <row r="22" spans="1:14" ht="13.5" customHeight="1">
      <c r="A22" s="717">
        <v>4464738</v>
      </c>
      <c r="B22" s="655" t="s">
        <v>20</v>
      </c>
      <c r="C22" s="655" t="s">
        <v>29</v>
      </c>
      <c r="D22" s="668">
        <v>160000</v>
      </c>
      <c r="E22" s="690">
        <f>'2018'!N22</f>
        <v>68575.84</v>
      </c>
      <c r="F22" s="669">
        <v>3.4</v>
      </c>
      <c r="G22" s="670">
        <v>2006</v>
      </c>
      <c r="H22" s="670">
        <v>2025</v>
      </c>
      <c r="I22" s="671">
        <v>11091.2</v>
      </c>
      <c r="J22" s="672">
        <v>8834.07</v>
      </c>
      <c r="K22" s="35"/>
      <c r="L22" s="672">
        <f t="shared" si="0"/>
        <v>2257.130000000001</v>
      </c>
      <c r="M22" s="957"/>
      <c r="N22" s="664">
        <f t="shared" si="1"/>
        <v>59741.77</v>
      </c>
    </row>
    <row r="23" spans="1:14" ht="12.75">
      <c r="A23" s="717">
        <v>4478664</v>
      </c>
      <c r="B23" s="655" t="s">
        <v>20</v>
      </c>
      <c r="C23" s="655" t="s">
        <v>29</v>
      </c>
      <c r="D23" s="668">
        <v>53000</v>
      </c>
      <c r="E23" s="690">
        <f>'2018'!N23</f>
        <v>22715.75</v>
      </c>
      <c r="F23" s="669">
        <v>3.4</v>
      </c>
      <c r="G23" s="670">
        <v>2006</v>
      </c>
      <c r="H23" s="670">
        <v>2026</v>
      </c>
      <c r="I23" s="671">
        <v>3673.96</v>
      </c>
      <c r="J23" s="672">
        <v>2926.29</v>
      </c>
      <c r="K23" s="35"/>
      <c r="L23" s="672">
        <f t="shared" si="0"/>
        <v>747.6700000000001</v>
      </c>
      <c r="M23" s="957"/>
      <c r="N23" s="664">
        <f t="shared" si="1"/>
        <v>19789.46</v>
      </c>
    </row>
    <row r="24" spans="1:14" ht="12.75">
      <c r="A24" s="666" t="s">
        <v>76</v>
      </c>
      <c r="B24" s="655" t="s">
        <v>20</v>
      </c>
      <c r="C24" s="655" t="s">
        <v>73</v>
      </c>
      <c r="D24" s="668">
        <v>100000</v>
      </c>
      <c r="E24" s="690">
        <f>'2018'!N24</f>
        <v>43604.41</v>
      </c>
      <c r="F24" s="669">
        <v>3.72</v>
      </c>
      <c r="G24" s="670">
        <v>2006</v>
      </c>
      <c r="H24" s="670">
        <v>2025</v>
      </c>
      <c r="I24" s="671">
        <v>7132.84</v>
      </c>
      <c r="J24" s="672">
        <v>5562.01</v>
      </c>
      <c r="K24" s="35"/>
      <c r="L24" s="672">
        <f t="shared" si="0"/>
        <v>1570.83</v>
      </c>
      <c r="M24" s="957"/>
      <c r="N24" s="664">
        <f t="shared" si="1"/>
        <v>38042.4</v>
      </c>
    </row>
    <row r="25" spans="1:15" s="718" customFormat="1" ht="12.75">
      <c r="A25" s="666" t="s">
        <v>104</v>
      </c>
      <c r="B25" s="655" t="s">
        <v>20</v>
      </c>
      <c r="C25" s="655" t="s">
        <v>78</v>
      </c>
      <c r="D25" s="668">
        <v>120000</v>
      </c>
      <c r="E25" s="690">
        <f>'2018'!N25</f>
        <v>78350.43000000001</v>
      </c>
      <c r="F25" s="669">
        <v>4.32</v>
      </c>
      <c r="G25" s="670">
        <v>2010</v>
      </c>
      <c r="H25" s="670">
        <v>2029</v>
      </c>
      <c r="I25" s="671">
        <v>9027.68</v>
      </c>
      <c r="J25" s="672">
        <v>5697.65</v>
      </c>
      <c r="K25" s="35">
        <v>3030</v>
      </c>
      <c r="L25" s="672">
        <f t="shared" si="0"/>
        <v>3330.0300000000007</v>
      </c>
      <c r="M25" s="957"/>
      <c r="N25" s="664">
        <f t="shared" si="1"/>
        <v>72652.78000000001</v>
      </c>
      <c r="O25" s="174"/>
    </row>
    <row r="26" spans="1:15" s="718" customFormat="1" ht="12.75">
      <c r="A26" s="666" t="s">
        <v>103</v>
      </c>
      <c r="B26" s="667" t="s">
        <v>20</v>
      </c>
      <c r="C26" s="719" t="s">
        <v>107</v>
      </c>
      <c r="D26" s="668">
        <v>90000</v>
      </c>
      <c r="E26" s="690">
        <f>'2018'!N26</f>
        <v>58722.31</v>
      </c>
      <c r="F26" s="669">
        <v>4.3</v>
      </c>
      <c r="G26" s="670">
        <v>2010</v>
      </c>
      <c r="H26" s="670">
        <v>2029</v>
      </c>
      <c r="I26" s="671">
        <v>6759.04</v>
      </c>
      <c r="J26" s="700">
        <v>4274.83</v>
      </c>
      <c r="K26" s="66"/>
      <c r="L26" s="701">
        <f t="shared" si="0"/>
        <v>2484.21</v>
      </c>
      <c r="M26" s="957"/>
      <c r="N26" s="664">
        <f t="shared" si="1"/>
        <v>54447.479999999996</v>
      </c>
      <c r="O26" s="174"/>
    </row>
    <row r="27" spans="1:14" s="718" customFormat="1" ht="12.75">
      <c r="A27" s="666" t="s">
        <v>117</v>
      </c>
      <c r="B27" s="667" t="s">
        <v>20</v>
      </c>
      <c r="C27" s="719" t="s">
        <v>108</v>
      </c>
      <c r="D27" s="668">
        <v>152925</v>
      </c>
      <c r="E27" s="690">
        <f>'2018'!N27</f>
        <v>106736.29999999999</v>
      </c>
      <c r="F27" s="669">
        <v>4.43</v>
      </c>
      <c r="G27" s="670">
        <v>2011</v>
      </c>
      <c r="H27" s="670">
        <v>2029</v>
      </c>
      <c r="I27" s="671">
        <v>11483.74</v>
      </c>
      <c r="J27" s="700">
        <v>6960.77</v>
      </c>
      <c r="K27" s="66"/>
      <c r="L27" s="701">
        <f t="shared" si="0"/>
        <v>4522.969999999999</v>
      </c>
      <c r="M27" s="957"/>
      <c r="N27" s="720">
        <f t="shared" si="1"/>
        <v>99775.52999999998</v>
      </c>
    </row>
    <row r="28" spans="1:14" s="718" customFormat="1" ht="25.5" customHeight="1">
      <c r="A28" s="717">
        <v>4555218</v>
      </c>
      <c r="B28" s="667" t="s">
        <v>20</v>
      </c>
      <c r="C28" s="730" t="s">
        <v>109</v>
      </c>
      <c r="D28" s="668">
        <v>67572.27</v>
      </c>
      <c r="E28" s="780">
        <f>'2018'!N28</f>
        <v>52878.270000000004</v>
      </c>
      <c r="F28" s="669">
        <v>6.51</v>
      </c>
      <c r="G28" s="670">
        <v>2012</v>
      </c>
      <c r="H28" s="670">
        <v>2031</v>
      </c>
      <c r="I28" s="671">
        <v>6092.5</v>
      </c>
      <c r="J28" s="672">
        <v>2690.62</v>
      </c>
      <c r="K28" s="66"/>
      <c r="L28" s="672">
        <f>I28-J28</f>
        <v>3401.88</v>
      </c>
      <c r="M28" s="957"/>
      <c r="N28" s="728">
        <f>E28-J28</f>
        <v>50187.65</v>
      </c>
    </row>
    <row r="29" spans="1:14" s="718" customFormat="1" ht="22.5">
      <c r="A29" s="781" t="s">
        <v>74</v>
      </c>
      <c r="B29" s="667" t="s">
        <v>20</v>
      </c>
      <c r="C29" s="730" t="s">
        <v>180</v>
      </c>
      <c r="D29" s="782"/>
      <c r="E29" s="794"/>
      <c r="F29" s="658"/>
      <c r="G29" s="795">
        <v>2020</v>
      </c>
      <c r="H29" s="659"/>
      <c r="I29" s="660"/>
      <c r="J29" s="661"/>
      <c r="K29" s="793"/>
      <c r="L29" s="661"/>
      <c r="M29" s="957"/>
      <c r="N29" s="728">
        <f>E29-J29</f>
        <v>0</v>
      </c>
    </row>
    <row r="30" spans="1:14" s="718" customFormat="1" ht="28.5" customHeight="1" thickBot="1">
      <c r="A30" s="777" t="s">
        <v>74</v>
      </c>
      <c r="B30" s="721" t="s">
        <v>20</v>
      </c>
      <c r="C30" s="796" t="s">
        <v>173</v>
      </c>
      <c r="D30" s="779"/>
      <c r="E30" s="794"/>
      <c r="F30" s="658"/>
      <c r="G30" s="795">
        <v>2020</v>
      </c>
      <c r="H30" s="659"/>
      <c r="I30" s="660"/>
      <c r="J30" s="661"/>
      <c r="K30" s="793"/>
      <c r="L30" s="661"/>
      <c r="M30" s="960"/>
      <c r="N30" s="664">
        <f>E30-J30</f>
        <v>0</v>
      </c>
    </row>
    <row r="31" spans="1:14" ht="13.5" thickBot="1">
      <c r="A31" s="787"/>
      <c r="B31" s="783"/>
      <c r="C31" s="783"/>
      <c r="D31" s="784"/>
      <c r="E31" s="725" t="s">
        <v>42</v>
      </c>
      <c r="F31" s="785"/>
      <c r="G31" s="786"/>
      <c r="H31" s="788" t="s">
        <v>43</v>
      </c>
      <c r="I31" s="789">
        <f>SUM(I20:I28)</f>
        <v>68397.29999999999</v>
      </c>
      <c r="J31" s="790">
        <f>SUM(J20:J28)</f>
        <v>48843.15</v>
      </c>
      <c r="K31" s="653"/>
      <c r="L31" s="791">
        <f t="shared" si="0"/>
        <v>19554.149999999987</v>
      </c>
      <c r="M31" s="653"/>
      <c r="N31" s="792">
        <f>SUM(N20:N30)</f>
        <v>407227.82</v>
      </c>
    </row>
    <row r="32" spans="1:14" ht="12.75">
      <c r="A32" s="714" t="s">
        <v>32</v>
      </c>
      <c r="B32" s="688" t="s">
        <v>20</v>
      </c>
      <c r="C32" s="688" t="s">
        <v>33</v>
      </c>
      <c r="D32" s="689">
        <v>13180.75</v>
      </c>
      <c r="E32" s="726">
        <f>'2017'!N30</f>
        <v>0</v>
      </c>
      <c r="F32" s="691">
        <v>6.5</v>
      </c>
      <c r="G32" s="692">
        <v>1998</v>
      </c>
      <c r="H32" s="692">
        <v>2017</v>
      </c>
      <c r="I32" s="693">
        <v>0</v>
      </c>
      <c r="J32" s="715"/>
      <c r="K32" s="35"/>
      <c r="L32" s="715">
        <f t="shared" si="0"/>
        <v>0</v>
      </c>
      <c r="M32" s="959">
        <v>820</v>
      </c>
      <c r="N32" s="727">
        <f t="shared" si="1"/>
        <v>0</v>
      </c>
    </row>
    <row r="33" spans="1:14" ht="12.75">
      <c r="A33" s="654">
        <v>4317937</v>
      </c>
      <c r="B33" s="655" t="s">
        <v>20</v>
      </c>
      <c r="C33" s="655" t="s">
        <v>33</v>
      </c>
      <c r="D33" s="656">
        <v>90110.63</v>
      </c>
      <c r="E33" s="726">
        <f>'2017'!N31</f>
        <v>0</v>
      </c>
      <c r="F33" s="658">
        <v>6.5</v>
      </c>
      <c r="G33" s="659">
        <v>1998</v>
      </c>
      <c r="H33" s="659">
        <v>2017</v>
      </c>
      <c r="I33" s="660">
        <v>0</v>
      </c>
      <c r="J33" s="661"/>
      <c r="K33" s="35">
        <v>3030</v>
      </c>
      <c r="L33" s="661">
        <f t="shared" si="0"/>
        <v>0</v>
      </c>
      <c r="M33" s="957"/>
      <c r="N33" s="664">
        <f t="shared" si="1"/>
        <v>0</v>
      </c>
    </row>
    <row r="34" spans="1:14" ht="13.5" thickBot="1">
      <c r="A34" s="665" t="s">
        <v>34</v>
      </c>
      <c r="B34" s="655" t="s">
        <v>20</v>
      </c>
      <c r="C34" s="655" t="s">
        <v>33</v>
      </c>
      <c r="D34" s="656">
        <v>51645.69</v>
      </c>
      <c r="E34" s="726">
        <f>'2017'!N32</f>
        <v>0</v>
      </c>
      <c r="F34" s="658">
        <v>6.5</v>
      </c>
      <c r="G34" s="659">
        <v>1998</v>
      </c>
      <c r="H34" s="659">
        <v>2017</v>
      </c>
      <c r="I34" s="660">
        <v>0</v>
      </c>
      <c r="J34" s="661"/>
      <c r="K34" s="35"/>
      <c r="L34" s="661">
        <f t="shared" si="0"/>
        <v>0</v>
      </c>
      <c r="M34" s="958"/>
      <c r="N34" s="664">
        <f t="shared" si="1"/>
        <v>0</v>
      </c>
    </row>
    <row r="35" spans="1:14" ht="13.5" thickBot="1">
      <c r="A35" s="674"/>
      <c r="B35" s="675"/>
      <c r="C35" s="675"/>
      <c r="D35" s="676"/>
      <c r="E35" s="682" t="s">
        <v>42</v>
      </c>
      <c r="F35" s="678"/>
      <c r="G35" s="679"/>
      <c r="H35" s="680" t="s">
        <v>43</v>
      </c>
      <c r="I35" s="681">
        <f>SUM(I32:I34)</f>
        <v>0</v>
      </c>
      <c r="J35" s="682">
        <f>SUM(J32:J34)</f>
        <v>0</v>
      </c>
      <c r="K35" s="685"/>
      <c r="L35" s="684">
        <f t="shared" si="0"/>
        <v>0</v>
      </c>
      <c r="M35" s="685"/>
      <c r="N35" s="703">
        <f>SUM(N32:N34)</f>
        <v>0</v>
      </c>
    </row>
    <row r="36" spans="1:14" s="810" customFormat="1" ht="12.75">
      <c r="A36" s="804">
        <v>4444717</v>
      </c>
      <c r="B36" s="802" t="s">
        <v>181</v>
      </c>
      <c r="C36" s="802" t="s">
        <v>38</v>
      </c>
      <c r="D36" s="805">
        <v>98000</v>
      </c>
      <c r="E36" s="806">
        <f>'2018'!N34</f>
        <v>33669.369999999995</v>
      </c>
      <c r="F36" s="826">
        <v>0.97</v>
      </c>
      <c r="G36" s="807">
        <v>2004</v>
      </c>
      <c r="H36" s="807">
        <v>2023</v>
      </c>
      <c r="I36" s="823">
        <v>6751.84</v>
      </c>
      <c r="J36" s="824">
        <v>6116.92</v>
      </c>
      <c r="K36" s="808"/>
      <c r="L36" s="824">
        <f t="shared" si="0"/>
        <v>634.9200000000001</v>
      </c>
      <c r="M36" s="959">
        <v>910</v>
      </c>
      <c r="N36" s="809">
        <f t="shared" si="1"/>
        <v>27552.449999999997</v>
      </c>
    </row>
    <row r="37" spans="1:14" s="810" customFormat="1" ht="12.75">
      <c r="A37" s="811">
        <v>4388738</v>
      </c>
      <c r="B37" s="803" t="s">
        <v>181</v>
      </c>
      <c r="C37" s="803" t="s">
        <v>38</v>
      </c>
      <c r="D37" s="812">
        <v>103291.38</v>
      </c>
      <c r="E37" s="806">
        <f>'2018'!N35</f>
        <v>23432.709999999995</v>
      </c>
      <c r="F37" s="813">
        <v>5.5</v>
      </c>
      <c r="G37" s="814">
        <v>2002</v>
      </c>
      <c r="H37" s="814">
        <v>2021</v>
      </c>
      <c r="I37" s="815">
        <v>8579.7</v>
      </c>
      <c r="J37" s="816">
        <v>7391.15</v>
      </c>
      <c r="K37" s="808"/>
      <c r="L37" s="816">
        <f t="shared" si="0"/>
        <v>1188.550000000001</v>
      </c>
      <c r="M37" s="957"/>
      <c r="N37" s="817">
        <f t="shared" si="1"/>
        <v>16041.559999999996</v>
      </c>
    </row>
    <row r="38" spans="1:14" ht="12.75">
      <c r="A38" s="654">
        <v>4363583</v>
      </c>
      <c r="B38" s="655" t="s">
        <v>20</v>
      </c>
      <c r="C38" s="655" t="s">
        <v>38</v>
      </c>
      <c r="D38" s="656">
        <v>49982.94</v>
      </c>
      <c r="E38" s="726">
        <f>'2018'!N36</f>
        <v>7883.890000000001</v>
      </c>
      <c r="F38" s="658">
        <v>5.75</v>
      </c>
      <c r="G38" s="659">
        <v>2001</v>
      </c>
      <c r="H38" s="659">
        <v>2020</v>
      </c>
      <c r="I38" s="660">
        <v>4229.3</v>
      </c>
      <c r="J38" s="661">
        <v>3830.24</v>
      </c>
      <c r="K38" s="35">
        <v>3030</v>
      </c>
      <c r="L38" s="661">
        <f t="shared" si="0"/>
        <v>399.0600000000004</v>
      </c>
      <c r="M38" s="957"/>
      <c r="N38" s="664">
        <f t="shared" si="1"/>
        <v>4053.6500000000015</v>
      </c>
    </row>
    <row r="39" spans="1:14" ht="12.75">
      <c r="A39" s="699">
        <v>4317938</v>
      </c>
      <c r="B39" s="667" t="s">
        <v>20</v>
      </c>
      <c r="C39" s="667" t="s">
        <v>38</v>
      </c>
      <c r="D39" s="668">
        <v>50396.44</v>
      </c>
      <c r="E39" s="726">
        <f>'2018'!N37</f>
        <v>0</v>
      </c>
      <c r="F39" s="669">
        <v>6.5</v>
      </c>
      <c r="G39" s="670">
        <v>1998</v>
      </c>
      <c r="H39" s="670">
        <v>2017</v>
      </c>
      <c r="I39" s="671"/>
      <c r="J39" s="672"/>
      <c r="K39" s="35" t="s">
        <v>42</v>
      </c>
      <c r="L39" s="672">
        <f>I39-J39</f>
        <v>0</v>
      </c>
      <c r="M39" s="957"/>
      <c r="N39" s="728">
        <f>E39-J39</f>
        <v>0</v>
      </c>
    </row>
    <row r="40" spans="1:14" ht="13.5" thickBot="1">
      <c r="A40" s="666" t="s">
        <v>94</v>
      </c>
      <c r="B40" s="655" t="s">
        <v>20</v>
      </c>
      <c r="C40" s="655" t="s">
        <v>85</v>
      </c>
      <c r="D40" s="668">
        <v>130000</v>
      </c>
      <c r="E40" s="726">
        <f>'2018'!N38</f>
        <v>78895.48000000001</v>
      </c>
      <c r="F40" s="669">
        <v>4.39</v>
      </c>
      <c r="G40" s="670">
        <v>2008</v>
      </c>
      <c r="H40" s="670">
        <v>2028</v>
      </c>
      <c r="I40" s="671">
        <v>9832.52</v>
      </c>
      <c r="J40" s="672">
        <v>6438.92</v>
      </c>
      <c r="K40" s="35"/>
      <c r="L40" s="672">
        <f>I40-J40</f>
        <v>3393.6000000000004</v>
      </c>
      <c r="M40" s="958"/>
      <c r="N40" s="664">
        <f>E40-J40</f>
        <v>72456.56000000001</v>
      </c>
    </row>
    <row r="41" spans="1:14" ht="13.5" thickBot="1">
      <c r="A41" s="729"/>
      <c r="B41" s="675"/>
      <c r="C41" s="675"/>
      <c r="D41" s="676"/>
      <c r="E41" s="682" t="s">
        <v>42</v>
      </c>
      <c r="F41" s="678"/>
      <c r="G41" s="679"/>
      <c r="H41" s="680" t="s">
        <v>43</v>
      </c>
      <c r="I41" s="681">
        <f>SUM(I36:I40)</f>
        <v>29393.36</v>
      </c>
      <c r="J41" s="682">
        <f>SUM(J36:J40)</f>
        <v>23777.229999999996</v>
      </c>
      <c r="K41" s="685"/>
      <c r="L41" s="682">
        <f t="shared" si="0"/>
        <v>5616.130000000005</v>
      </c>
      <c r="M41" s="685"/>
      <c r="N41" s="703">
        <f>SUM(N36:N40)</f>
        <v>120104.22</v>
      </c>
    </row>
    <row r="42" spans="1:14" s="673" customFormat="1" ht="33" customHeight="1" thickBot="1">
      <c r="A42" s="666" t="s">
        <v>105</v>
      </c>
      <c r="B42" s="667" t="s">
        <v>20</v>
      </c>
      <c r="C42" s="730" t="s">
        <v>100</v>
      </c>
      <c r="D42" s="668">
        <v>50000</v>
      </c>
      <c r="E42" s="731">
        <f>'2018'!N40</f>
        <v>32646.03</v>
      </c>
      <c r="F42" s="669">
        <v>4.32</v>
      </c>
      <c r="G42" s="670">
        <v>2010</v>
      </c>
      <c r="H42" s="670">
        <v>2029</v>
      </c>
      <c r="I42" s="671">
        <v>3761.52</v>
      </c>
      <c r="J42" s="700">
        <v>2374.02</v>
      </c>
      <c r="K42" s="66">
        <v>3030</v>
      </c>
      <c r="L42" s="701">
        <f>I42-J42</f>
        <v>1387.5</v>
      </c>
      <c r="M42" s="66">
        <v>930</v>
      </c>
      <c r="N42" s="664">
        <f>E42-J42</f>
        <v>30272.01</v>
      </c>
    </row>
    <row r="43" spans="1:14" ht="13.5" thickBot="1">
      <c r="A43" s="674"/>
      <c r="B43" s="675"/>
      <c r="C43" s="675"/>
      <c r="D43" s="676"/>
      <c r="E43" s="682" t="s">
        <v>42</v>
      </c>
      <c r="F43" s="678"/>
      <c r="G43" s="679"/>
      <c r="H43" s="680" t="s">
        <v>43</v>
      </c>
      <c r="I43" s="732">
        <f>SUM(I42:I42)</f>
        <v>3761.52</v>
      </c>
      <c r="J43" s="677">
        <f>SUM(J42:J42)</f>
        <v>2374.02</v>
      </c>
      <c r="K43" s="685"/>
      <c r="L43" s="684">
        <f t="shared" si="0"/>
        <v>1387.5</v>
      </c>
      <c r="M43" s="685"/>
      <c r="N43" s="703">
        <f>SUM(N42:N42)</f>
        <v>30272.01</v>
      </c>
    </row>
    <row r="44" spans="1:14" ht="13.5" hidden="1" thickBot="1">
      <c r="A44" s="733"/>
      <c r="B44" s="734"/>
      <c r="C44" s="734"/>
      <c r="D44" s="735"/>
      <c r="E44" s="736"/>
      <c r="F44" s="737"/>
      <c r="G44" s="738"/>
      <c r="H44" s="738"/>
      <c r="I44" s="739"/>
      <c r="J44" s="736"/>
      <c r="K44" s="740"/>
      <c r="L44" s="715">
        <f t="shared" si="0"/>
        <v>0</v>
      </c>
      <c r="M44" s="66"/>
      <c r="N44" s="741">
        <f t="shared" si="1"/>
        <v>0</v>
      </c>
    </row>
    <row r="45" spans="1:14" ht="13.5" hidden="1" thickBot="1">
      <c r="A45" s="733"/>
      <c r="B45" s="734"/>
      <c r="C45" s="734"/>
      <c r="D45" s="735"/>
      <c r="E45" s="736"/>
      <c r="F45" s="737"/>
      <c r="G45" s="738"/>
      <c r="H45" s="738"/>
      <c r="I45" s="739"/>
      <c r="J45" s="736"/>
      <c r="K45" s="740"/>
      <c r="L45" s="661">
        <f t="shared" si="0"/>
        <v>0</v>
      </c>
      <c r="M45" s="27"/>
      <c r="N45" s="741">
        <f t="shared" si="1"/>
        <v>0</v>
      </c>
    </row>
    <row r="46" spans="1:14" ht="13.5" hidden="1" thickBot="1">
      <c r="A46" s="733"/>
      <c r="B46" s="734"/>
      <c r="C46" s="734"/>
      <c r="D46" s="735"/>
      <c r="E46" s="736"/>
      <c r="F46" s="737"/>
      <c r="G46" s="738"/>
      <c r="H46" s="738"/>
      <c r="I46" s="739"/>
      <c r="J46" s="736"/>
      <c r="K46" s="740"/>
      <c r="L46" s="661">
        <f t="shared" si="0"/>
        <v>0</v>
      </c>
      <c r="M46" s="27"/>
      <c r="N46" s="741">
        <f t="shared" si="1"/>
        <v>0</v>
      </c>
    </row>
    <row r="47" spans="1:14" ht="13.5" hidden="1" thickBot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661">
        <f t="shared" si="0"/>
        <v>0</v>
      </c>
      <c r="M47" s="27"/>
      <c r="N47" s="741">
        <f t="shared" si="1"/>
        <v>0</v>
      </c>
    </row>
    <row r="48" spans="1:14" ht="13.5" hidden="1" thickBot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0"/>
        <v>0</v>
      </c>
      <c r="M48" s="27"/>
      <c r="N48" s="741">
        <f t="shared" si="1"/>
        <v>0</v>
      </c>
    </row>
    <row r="49" spans="1:14" ht="13.5" hidden="1" thickBot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0"/>
        <v>0</v>
      </c>
      <c r="M49" s="27"/>
      <c r="N49" s="741">
        <f t="shared" si="1"/>
        <v>0</v>
      </c>
    </row>
    <row r="50" spans="1:14" ht="13.5" hidden="1" thickBot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0"/>
        <v>0</v>
      </c>
      <c r="M50" s="27"/>
      <c r="N50" s="741">
        <f t="shared" si="1"/>
        <v>0</v>
      </c>
    </row>
    <row r="51" spans="1:14" ht="13.5" hidden="1" thickBot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0"/>
        <v>0</v>
      </c>
      <c r="M51" s="27"/>
      <c r="N51" s="741">
        <f t="shared" si="1"/>
        <v>0</v>
      </c>
    </row>
    <row r="52" spans="1:14" ht="13.5" hidden="1" thickBot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0"/>
        <v>0</v>
      </c>
      <c r="M52" s="27"/>
      <c r="N52" s="741">
        <f t="shared" si="1"/>
        <v>0</v>
      </c>
    </row>
    <row r="53" spans="1:14" ht="13.5" hidden="1" thickBot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0"/>
        <v>0</v>
      </c>
      <c r="M53" s="27"/>
      <c r="N53" s="741">
        <f t="shared" si="1"/>
        <v>0</v>
      </c>
    </row>
    <row r="54" spans="1:14" ht="13.5" hidden="1" thickBot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0"/>
        <v>0</v>
      </c>
      <c r="M54" s="27"/>
      <c r="N54" s="741">
        <f t="shared" si="1"/>
        <v>0</v>
      </c>
    </row>
    <row r="55" spans="1:14" ht="13.5" hidden="1" thickBot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0"/>
        <v>0</v>
      </c>
      <c r="M55" s="27"/>
      <c r="N55" s="741">
        <f t="shared" si="1"/>
        <v>0</v>
      </c>
    </row>
    <row r="56" spans="1:14" ht="13.5" hidden="1" thickBot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0"/>
        <v>0</v>
      </c>
      <c r="M56" s="27"/>
      <c r="N56" s="741">
        <f t="shared" si="1"/>
        <v>0</v>
      </c>
    </row>
    <row r="57" spans="1:14" ht="13.5" hidden="1" thickBot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0"/>
        <v>0</v>
      </c>
      <c r="M57" s="27"/>
      <c r="N57" s="741">
        <f t="shared" si="1"/>
        <v>0</v>
      </c>
    </row>
    <row r="58" spans="1:14" ht="13.5" hidden="1" thickBot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0"/>
        <v>0</v>
      </c>
      <c r="M58" s="27"/>
      <c r="N58" s="741">
        <f t="shared" si="1"/>
        <v>0</v>
      </c>
    </row>
    <row r="59" spans="1:14" ht="13.5" hidden="1" thickBot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0"/>
        <v>0</v>
      </c>
      <c r="M59" s="27"/>
      <c r="N59" s="741">
        <f t="shared" si="1"/>
        <v>0</v>
      </c>
    </row>
    <row r="60" spans="1:14" ht="13.5" hidden="1" thickBot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0"/>
        <v>0</v>
      </c>
      <c r="M60" s="27"/>
      <c r="N60" s="741">
        <f t="shared" si="1"/>
        <v>0</v>
      </c>
    </row>
    <row r="61" spans="1:14" ht="13.5" hidden="1" thickBot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0"/>
        <v>0</v>
      </c>
      <c r="M61" s="27"/>
      <c r="N61" s="741">
        <f t="shared" si="1"/>
        <v>0</v>
      </c>
    </row>
    <row r="62" spans="1:14" ht="13.5" hidden="1" thickBot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0"/>
        <v>0</v>
      </c>
      <c r="M62" s="27"/>
      <c r="N62" s="741">
        <f t="shared" si="1"/>
        <v>0</v>
      </c>
    </row>
    <row r="63" spans="1:14" ht="13.5" hidden="1" thickBot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0"/>
        <v>0</v>
      </c>
      <c r="M63" s="27"/>
      <c r="N63" s="741">
        <f t="shared" si="1"/>
        <v>0</v>
      </c>
    </row>
    <row r="64" spans="1:14" ht="13.5" hidden="1" thickBot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0"/>
        <v>0</v>
      </c>
      <c r="M64" s="27"/>
      <c r="N64" s="741">
        <f t="shared" si="1"/>
        <v>0</v>
      </c>
    </row>
    <row r="65" spans="1:14" ht="13.5" hidden="1" thickBot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0"/>
        <v>0</v>
      </c>
      <c r="M65" s="27"/>
      <c r="N65" s="741">
        <f t="shared" si="1"/>
        <v>0</v>
      </c>
    </row>
    <row r="66" spans="1:14" ht="13.5" hidden="1" thickBot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0"/>
        <v>0</v>
      </c>
      <c r="M66" s="27"/>
      <c r="N66" s="741">
        <f t="shared" si="1"/>
        <v>0</v>
      </c>
    </row>
    <row r="67" spans="1:14" ht="13.5" hidden="1" thickBot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0"/>
        <v>0</v>
      </c>
      <c r="M67" s="27"/>
      <c r="N67" s="741">
        <f t="shared" si="1"/>
        <v>0</v>
      </c>
    </row>
    <row r="68" spans="1:14" ht="13.5" hidden="1" thickBot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 t="shared" si="0"/>
        <v>0</v>
      </c>
      <c r="M68" s="27"/>
      <c r="N68" s="741">
        <f t="shared" si="1"/>
        <v>0</v>
      </c>
    </row>
    <row r="69" spans="1:14" ht="13.5" hidden="1" thickBot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 t="shared" si="0"/>
        <v>0</v>
      </c>
      <c r="M69" s="27"/>
      <c r="N69" s="741">
        <f t="shared" si="1"/>
        <v>0</v>
      </c>
    </row>
    <row r="70" spans="1:14" ht="13.5" hidden="1" thickBot="1">
      <c r="A70" s="733"/>
      <c r="B70" s="734"/>
      <c r="C70" s="734"/>
      <c r="D70" s="735"/>
      <c r="E70" s="736"/>
      <c r="F70" s="737"/>
      <c r="G70" s="738"/>
      <c r="H70" s="738"/>
      <c r="I70" s="739"/>
      <c r="J70" s="736"/>
      <c r="K70" s="740"/>
      <c r="L70" s="661">
        <f>I70-J70</f>
        <v>0</v>
      </c>
      <c r="M70" s="27"/>
      <c r="N70" s="741">
        <f>E70-J70</f>
        <v>0</v>
      </c>
    </row>
    <row r="71" spans="1:14" ht="13.5" hidden="1" thickBot="1">
      <c r="A71" s="733"/>
      <c r="B71" s="734"/>
      <c r="C71" s="734"/>
      <c r="D71" s="735"/>
      <c r="E71" s="736"/>
      <c r="F71" s="737"/>
      <c r="G71" s="738"/>
      <c r="H71" s="738"/>
      <c r="I71" s="739"/>
      <c r="J71" s="736"/>
      <c r="K71" s="740"/>
      <c r="L71" s="661">
        <f>I71-J71</f>
        <v>0</v>
      </c>
      <c r="M71" s="27"/>
      <c r="N71" s="741">
        <f>E71-J71</f>
        <v>0</v>
      </c>
    </row>
    <row r="72" spans="1:14" ht="13.5" hidden="1" thickBot="1">
      <c r="A72" s="742"/>
      <c r="B72" s="705"/>
      <c r="C72" s="705"/>
      <c r="D72" s="706"/>
      <c r="E72" s="743"/>
      <c r="F72" s="708"/>
      <c r="G72" s="709"/>
      <c r="H72" s="709"/>
      <c r="I72" s="710"/>
      <c r="J72" s="743"/>
      <c r="K72" s="744"/>
      <c r="L72" s="672">
        <f>I72-J72</f>
        <v>0</v>
      </c>
      <c r="M72" s="27"/>
      <c r="N72" s="713">
        <f>E72-J72</f>
        <v>0</v>
      </c>
    </row>
    <row r="73" spans="1:14" ht="14.25" thickBot="1" thickTop="1">
      <c r="A73" s="745"/>
      <c r="B73" s="746"/>
      <c r="C73" s="747" t="s">
        <v>8</v>
      </c>
      <c r="D73" s="748">
        <f>SUM(D3:D72)</f>
        <v>3185279.25</v>
      </c>
      <c r="E73" s="749">
        <f>SUM(E3:E72)</f>
        <v>1128427.83</v>
      </c>
      <c r="F73" s="135"/>
      <c r="G73" s="135"/>
      <c r="H73" s="135"/>
      <c r="I73" s="750">
        <f>+I12+I17+I19+I31+I35+I41+I43</f>
        <v>209701.66</v>
      </c>
      <c r="J73" s="750">
        <f>+J12+J17+J19+J31+J35+J41+J43</f>
        <v>161763.63999999998</v>
      </c>
      <c r="K73" s="135"/>
      <c r="L73" s="750">
        <f>+L12+L17+L19+L31+L35+L41+L43</f>
        <v>47938.020000000004</v>
      </c>
      <c r="M73" s="135"/>
      <c r="N73" s="751">
        <f>+N12+N17+N19+N31+N35+N41+N43</f>
        <v>966664.19</v>
      </c>
    </row>
    <row r="74" ht="13.5" thickTop="1"/>
    <row r="75" spans="9:14" s="883" customFormat="1" ht="9.75">
      <c r="I75" s="876">
        <f>I3+I4+I7+I36+I37</f>
        <v>66240.65999999999</v>
      </c>
      <c r="J75" s="876">
        <f>J3+J4+J7+J36+J37</f>
        <v>59232.579999999994</v>
      </c>
      <c r="K75" s="888"/>
      <c r="L75" s="876">
        <f>L3+L4+L7+L36+L37</f>
        <v>7008.080000000002</v>
      </c>
      <c r="M75" s="884" t="s">
        <v>181</v>
      </c>
      <c r="N75" s="876">
        <f>N3+N4+N7+N36+N37</f>
        <v>183763.89</v>
      </c>
    </row>
    <row r="76" spans="1:14" s="752" customFormat="1" ht="9.75">
      <c r="A76" s="752" t="s">
        <v>42</v>
      </c>
      <c r="I76" s="873">
        <f>I73-I75</f>
        <v>143461</v>
      </c>
      <c r="J76" s="873">
        <f>J73-J75</f>
        <v>102531.06</v>
      </c>
      <c r="K76" s="840"/>
      <c r="L76" s="873">
        <f>L73-L75</f>
        <v>40929.94</v>
      </c>
      <c r="M76" s="793" t="s">
        <v>188</v>
      </c>
      <c r="N76" s="873">
        <f>N73-N75</f>
        <v>782900.2999999999</v>
      </c>
    </row>
    <row r="77" spans="9:13" s="752" customFormat="1" ht="9.75">
      <c r="I77" s="770"/>
      <c r="J77" s="886"/>
      <c r="L77" s="830"/>
      <c r="M77" s="35"/>
    </row>
    <row r="78" spans="9:13" s="752" customFormat="1" ht="9.75">
      <c r="I78" s="770"/>
      <c r="J78" s="887"/>
      <c r="L78" s="830"/>
      <c r="M78" s="830"/>
    </row>
    <row r="79" spans="9:13" s="883" customFormat="1" ht="9.75">
      <c r="I79" s="853"/>
      <c r="J79" s="889"/>
      <c r="L79" s="820"/>
      <c r="M79" s="820"/>
    </row>
    <row r="80" spans="10:13" s="752" customFormat="1" ht="9.75">
      <c r="J80" s="887"/>
      <c r="L80" s="872"/>
      <c r="M80" s="830"/>
    </row>
    <row r="81" spans="10:13" s="752" customFormat="1" ht="9.75">
      <c r="J81" s="770"/>
      <c r="L81" s="830"/>
      <c r="M81" s="830"/>
    </row>
    <row r="82" spans="12:13" s="752" customFormat="1" ht="9.75">
      <c r="L82" s="830"/>
      <c r="M82" s="830"/>
    </row>
    <row r="83" spans="12:13" s="752" customFormat="1" ht="9.75">
      <c r="L83" s="830"/>
      <c r="M83" s="830"/>
    </row>
  </sheetData>
  <sheetProtection/>
  <mergeCells count="5">
    <mergeCell ref="A1:N1"/>
    <mergeCell ref="K3:K11"/>
    <mergeCell ref="M20:M30"/>
    <mergeCell ref="M32:M34"/>
    <mergeCell ref="M36:M4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6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10.7109375" style="829" customWidth="1"/>
    <col min="2" max="2" width="11.7109375" style="829" customWidth="1"/>
    <col min="3" max="3" width="52.7109375" style="829" customWidth="1"/>
    <col min="4" max="5" width="12.00390625" style="829" customWidth="1"/>
    <col min="6" max="8" width="9.140625" style="829" customWidth="1"/>
    <col min="9" max="9" width="10.57421875" style="829" customWidth="1"/>
    <col min="10" max="10" width="11.8515625" style="829" customWidth="1"/>
    <col min="11" max="11" width="9.140625" style="829" customWidth="1"/>
    <col min="12" max="12" width="10.7109375" style="833" customWidth="1"/>
    <col min="13" max="13" width="9.140625" style="833" customWidth="1"/>
    <col min="14" max="14" width="12.00390625" style="752" customWidth="1"/>
    <col min="15" max="15" width="2.00390625" style="829" customWidth="1"/>
    <col min="16" max="16" width="9.140625" style="770" customWidth="1"/>
    <col min="17" max="17" width="10.00390625" style="770" customWidth="1"/>
    <col min="18" max="16384" width="9.140625" style="829" customWidth="1"/>
  </cols>
  <sheetData>
    <row r="1" spans="1:14" ht="24.75" customHeight="1" thickBot="1">
      <c r="A1" s="954" t="s">
        <v>158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4.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159</v>
      </c>
      <c r="F2" s="138" t="s">
        <v>3</v>
      </c>
      <c r="G2" s="138" t="s">
        <v>4</v>
      </c>
      <c r="H2" s="138" t="s">
        <v>5</v>
      </c>
      <c r="I2" s="138" t="s">
        <v>160</v>
      </c>
      <c r="J2" s="138" t="s">
        <v>163</v>
      </c>
      <c r="K2" s="138" t="s">
        <v>6</v>
      </c>
      <c r="L2" s="138" t="s">
        <v>161</v>
      </c>
      <c r="M2" s="138" t="s">
        <v>6</v>
      </c>
      <c r="N2" s="139" t="s">
        <v>162</v>
      </c>
    </row>
    <row r="3" spans="1:15" ht="11.25">
      <c r="A3" s="654">
        <v>4425594</v>
      </c>
      <c r="B3" s="803" t="s">
        <v>181</v>
      </c>
      <c r="C3" s="655" t="s">
        <v>15</v>
      </c>
      <c r="D3" s="656">
        <v>413165</v>
      </c>
      <c r="E3" s="657">
        <f>'2019'!N3</f>
        <v>116530.35</v>
      </c>
      <c r="F3" s="658">
        <v>0.97</v>
      </c>
      <c r="G3" s="659">
        <v>2004</v>
      </c>
      <c r="H3" s="860">
        <v>2024</v>
      </c>
      <c r="I3" s="861">
        <f>55.27+48.37</f>
        <v>103.64</v>
      </c>
      <c r="J3" s="862">
        <v>0</v>
      </c>
      <c r="K3" s="956">
        <v>3030</v>
      </c>
      <c r="L3" s="661">
        <f>I3-J3</f>
        <v>103.64</v>
      </c>
      <c r="M3" s="961">
        <v>283</v>
      </c>
      <c r="N3" s="867">
        <f>E3-J3</f>
        <v>116530.35</v>
      </c>
      <c r="O3" s="830"/>
    </row>
    <row r="4" spans="1:14" ht="12.75">
      <c r="A4" s="654">
        <v>4403430</v>
      </c>
      <c r="B4" s="803" t="s">
        <v>181</v>
      </c>
      <c r="C4" s="655" t="s">
        <v>15</v>
      </c>
      <c r="D4" s="656">
        <v>154937.07</v>
      </c>
      <c r="E4" s="657">
        <f>'2019'!N4</f>
        <v>23639.530000000006</v>
      </c>
      <c r="F4" s="658">
        <v>5.25</v>
      </c>
      <c r="G4" s="659">
        <v>2002.2021</v>
      </c>
      <c r="H4" s="860">
        <v>2022</v>
      </c>
      <c r="I4" s="861">
        <f>620.53+471.38</f>
        <v>1091.9099999999999</v>
      </c>
      <c r="J4" s="862">
        <v>0</v>
      </c>
      <c r="K4" s="957"/>
      <c r="L4" s="661">
        <f aca="true" t="shared" si="0" ref="L4:L70">I4-J4</f>
        <v>1091.9099999999999</v>
      </c>
      <c r="M4" s="962"/>
      <c r="N4" s="866">
        <f aca="true" t="shared" si="1" ref="N4:N70">E4-J4</f>
        <v>23639.530000000006</v>
      </c>
    </row>
    <row r="5" spans="1:14" ht="12" customHeight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'2019'!N5</f>
        <v>8393.77</v>
      </c>
      <c r="F5" s="658">
        <v>5.75</v>
      </c>
      <c r="G5" s="659">
        <v>2001</v>
      </c>
      <c r="H5" s="774">
        <v>2020</v>
      </c>
      <c r="I5" s="660">
        <v>8757.58</v>
      </c>
      <c r="J5" s="661">
        <v>8393.77</v>
      </c>
      <c r="K5" s="957"/>
      <c r="L5" s="661">
        <f t="shared" si="0"/>
        <v>363.8099999999995</v>
      </c>
      <c r="M5" s="962"/>
      <c r="N5" s="664">
        <f t="shared" si="1"/>
        <v>0</v>
      </c>
    </row>
    <row r="6" spans="1:14" ht="12.75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'2019'!N6</f>
        <v>6295.36</v>
      </c>
      <c r="F6" s="658">
        <v>5.75</v>
      </c>
      <c r="G6" s="659">
        <v>2001</v>
      </c>
      <c r="H6" s="774">
        <v>2020</v>
      </c>
      <c r="I6" s="660">
        <v>6568.18</v>
      </c>
      <c r="J6" s="661">
        <v>6295.36</v>
      </c>
      <c r="K6" s="957"/>
      <c r="L6" s="661">
        <f t="shared" si="0"/>
        <v>272.8200000000006</v>
      </c>
      <c r="M6" s="962"/>
      <c r="N6" s="664">
        <f t="shared" si="1"/>
        <v>0</v>
      </c>
    </row>
    <row r="7" spans="1:14" ht="12.75" customHeight="1" hidden="1">
      <c r="A7" s="654">
        <v>4354048</v>
      </c>
      <c r="B7" s="655" t="s">
        <v>7</v>
      </c>
      <c r="C7" s="655" t="s">
        <v>15</v>
      </c>
      <c r="D7" s="656">
        <v>179245.09</v>
      </c>
      <c r="E7" s="657">
        <f>'2019'!N7</f>
        <v>0</v>
      </c>
      <c r="F7" s="658">
        <v>0</v>
      </c>
      <c r="G7" s="659">
        <v>2000</v>
      </c>
      <c r="H7" s="659">
        <v>2019</v>
      </c>
      <c r="I7" s="660"/>
      <c r="J7" s="661"/>
      <c r="K7" s="957"/>
      <c r="L7" s="661">
        <f t="shared" si="0"/>
        <v>0</v>
      </c>
      <c r="M7" s="962"/>
      <c r="N7" s="664">
        <f t="shared" si="1"/>
        <v>0</v>
      </c>
    </row>
    <row r="8" spans="1:14" ht="12.75" customHeight="1" hidden="1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'2019'!N8</f>
        <v>0</v>
      </c>
      <c r="F8" s="658">
        <v>6.5</v>
      </c>
      <c r="G8" s="659">
        <v>1998</v>
      </c>
      <c r="H8" s="659">
        <v>2017</v>
      </c>
      <c r="I8" s="660"/>
      <c r="J8" s="661"/>
      <c r="K8" s="957"/>
      <c r="L8" s="661">
        <f t="shared" si="0"/>
        <v>0</v>
      </c>
      <c r="M8" s="962"/>
      <c r="N8" s="664">
        <f t="shared" si="1"/>
        <v>0</v>
      </c>
    </row>
    <row r="9" spans="1:14" ht="12.75" customHeight="1" hidden="1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'2019'!N9</f>
        <v>0</v>
      </c>
      <c r="F9" s="658">
        <v>6.5</v>
      </c>
      <c r="G9" s="659">
        <v>1998</v>
      </c>
      <c r="H9" s="659">
        <v>2017</v>
      </c>
      <c r="I9" s="660"/>
      <c r="J9" s="661"/>
      <c r="K9" s="957"/>
      <c r="L9" s="661">
        <f>I9-J9</f>
        <v>0</v>
      </c>
      <c r="M9" s="962"/>
      <c r="N9" s="664">
        <f>E9-J9</f>
        <v>0</v>
      </c>
    </row>
    <row r="10" spans="1:14" ht="12.75">
      <c r="A10" s="666" t="s">
        <v>77</v>
      </c>
      <c r="B10" s="667" t="s">
        <v>7</v>
      </c>
      <c r="C10" s="667" t="s">
        <v>72</v>
      </c>
      <c r="D10" s="668">
        <v>80000</v>
      </c>
      <c r="E10" s="657">
        <f>'2019'!N10</f>
        <v>30469.129999999997</v>
      </c>
      <c r="F10" s="669">
        <v>3.72</v>
      </c>
      <c r="G10" s="670">
        <v>2006</v>
      </c>
      <c r="H10" s="670">
        <v>2025</v>
      </c>
      <c r="I10" s="671">
        <v>5716.4</v>
      </c>
      <c r="J10" s="672">
        <v>4619.64</v>
      </c>
      <c r="K10" s="957"/>
      <c r="L10" s="672">
        <f>I10-J10</f>
        <v>1096.7599999999993</v>
      </c>
      <c r="M10" s="962"/>
      <c r="N10" s="664">
        <f>E10-J10</f>
        <v>25849.489999999998</v>
      </c>
    </row>
    <row r="11" spans="1:14" ht="13.5" thickBot="1">
      <c r="A11" s="755" t="s">
        <v>102</v>
      </c>
      <c r="B11" s="655" t="s">
        <v>20</v>
      </c>
      <c r="C11" s="655" t="s">
        <v>92</v>
      </c>
      <c r="D11" s="656">
        <v>60000</v>
      </c>
      <c r="E11" s="657">
        <f>'2019'!N11</f>
        <v>36788.759999999995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2964.25</v>
      </c>
      <c r="K11" s="958"/>
      <c r="L11" s="672">
        <f>I11-J11</f>
        <v>1679.8500000000004</v>
      </c>
      <c r="M11" s="963"/>
      <c r="N11" s="664">
        <f>E11-J11</f>
        <v>33824.509999999995</v>
      </c>
    </row>
    <row r="12" spans="1:14" ht="13.5" thickBot="1">
      <c r="A12" s="674"/>
      <c r="B12" s="675"/>
      <c r="C12" s="675"/>
      <c r="D12" s="676"/>
      <c r="E12" s="682" t="s">
        <v>42</v>
      </c>
      <c r="F12" s="678"/>
      <c r="G12" s="679"/>
      <c r="H12" s="680" t="s">
        <v>43</v>
      </c>
      <c r="I12" s="681">
        <f>SUM(I3:I11)</f>
        <v>26881.809999999998</v>
      </c>
      <c r="J12" s="682">
        <f>SUM(J3:J11)</f>
        <v>22273.02</v>
      </c>
      <c r="K12" s="683"/>
      <c r="L12" s="684">
        <f t="shared" si="0"/>
        <v>4608.789999999997</v>
      </c>
      <c r="M12" s="685"/>
      <c r="N12" s="686">
        <f>SUM(N3:N11)</f>
        <v>199843.88</v>
      </c>
    </row>
    <row r="13" spans="1:14" ht="12.75">
      <c r="A13" s="687">
        <v>4367661</v>
      </c>
      <c r="B13" s="688" t="s">
        <v>20</v>
      </c>
      <c r="C13" s="688" t="s">
        <v>21</v>
      </c>
      <c r="D13" s="689">
        <v>51645.69</v>
      </c>
      <c r="E13" s="726">
        <f>'2019'!N13</f>
        <v>4196.870000000001</v>
      </c>
      <c r="F13" s="691">
        <v>5.75</v>
      </c>
      <c r="G13" s="692">
        <v>2001</v>
      </c>
      <c r="H13" s="775">
        <v>2020</v>
      </c>
      <c r="I13" s="693">
        <v>4378.78</v>
      </c>
      <c r="J13" s="694">
        <v>4196.87</v>
      </c>
      <c r="K13" s="959">
        <v>3030</v>
      </c>
      <c r="L13" s="695">
        <f t="shared" si="0"/>
        <v>181.90999999999985</v>
      </c>
      <c r="M13" s="959">
        <v>518</v>
      </c>
      <c r="N13" s="696">
        <f t="shared" si="1"/>
        <v>0</v>
      </c>
    </row>
    <row r="14" spans="1:14" ht="12.75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'2019'!N14</f>
        <v>6295.36</v>
      </c>
      <c r="F14" s="658">
        <v>5.75</v>
      </c>
      <c r="G14" s="659">
        <v>2001</v>
      </c>
      <c r="H14" s="774">
        <v>2020</v>
      </c>
      <c r="I14" s="660">
        <v>6568.18</v>
      </c>
      <c r="J14" s="697">
        <v>6295.36</v>
      </c>
      <c r="K14" s="957"/>
      <c r="L14" s="698">
        <f t="shared" si="0"/>
        <v>272.8200000000006</v>
      </c>
      <c r="M14" s="957"/>
      <c r="N14" s="664">
        <f t="shared" si="1"/>
        <v>0</v>
      </c>
    </row>
    <row r="15" spans="1:14" ht="12.75" customHeight="1" hidden="1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'2019'!N15</f>
        <v>0</v>
      </c>
      <c r="F15" s="658">
        <v>4.85</v>
      </c>
      <c r="G15" s="659">
        <v>1999</v>
      </c>
      <c r="H15" s="659">
        <v>2018</v>
      </c>
      <c r="I15" s="660"/>
      <c r="J15" s="697"/>
      <c r="K15" s="957"/>
      <c r="L15" s="698">
        <f t="shared" si="0"/>
        <v>0</v>
      </c>
      <c r="M15" s="957"/>
      <c r="N15" s="664">
        <f t="shared" si="1"/>
        <v>0</v>
      </c>
    </row>
    <row r="16" spans="1:14" ht="12.75">
      <c r="A16" s="699">
        <v>4555239</v>
      </c>
      <c r="B16" s="667" t="s">
        <v>20</v>
      </c>
      <c r="C16" s="667" t="s">
        <v>164</v>
      </c>
      <c r="D16" s="668">
        <v>127500</v>
      </c>
      <c r="E16" s="690">
        <f>'2019'!N16</f>
        <v>94697.49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5412.97</v>
      </c>
      <c r="K16" s="957"/>
      <c r="L16" s="701">
        <f>I16-J16</f>
        <v>6082.79</v>
      </c>
      <c r="M16" s="957"/>
      <c r="N16" s="664">
        <f>E16-J16</f>
        <v>89284.52</v>
      </c>
    </row>
    <row r="17" spans="1:17" s="897" customFormat="1" ht="13.5" thickBot="1">
      <c r="A17" s="781" t="s">
        <v>196</v>
      </c>
      <c r="B17" s="890" t="s">
        <v>20</v>
      </c>
      <c r="C17" s="890" t="s">
        <v>195</v>
      </c>
      <c r="D17" s="856">
        <v>200000</v>
      </c>
      <c r="E17" s="891">
        <v>200000</v>
      </c>
      <c r="F17" s="892">
        <v>1.1</v>
      </c>
      <c r="G17" s="857">
        <v>2021</v>
      </c>
      <c r="H17" s="857">
        <v>2040</v>
      </c>
      <c r="I17" s="893">
        <v>0</v>
      </c>
      <c r="J17" s="894">
        <v>0</v>
      </c>
      <c r="K17" s="958"/>
      <c r="L17" s="895">
        <f>I17-J17</f>
        <v>0</v>
      </c>
      <c r="M17" s="958"/>
      <c r="N17" s="896">
        <f>E17-J17</f>
        <v>200000</v>
      </c>
      <c r="P17" s="898"/>
      <c r="Q17" s="898"/>
    </row>
    <row r="18" spans="1:14" ht="13.5" thickBot="1">
      <c r="A18" s="674"/>
      <c r="B18" s="675"/>
      <c r="C18" s="675"/>
      <c r="D18" s="676"/>
      <c r="E18" s="702" t="s">
        <v>42</v>
      </c>
      <c r="F18" s="678"/>
      <c r="G18" s="679"/>
      <c r="H18" s="680" t="s">
        <v>43</v>
      </c>
      <c r="I18" s="681">
        <f>SUM(I13:I17)</f>
        <v>22442.72</v>
      </c>
      <c r="J18" s="681">
        <f>SUM(J13:J17)</f>
        <v>15905.2</v>
      </c>
      <c r="K18" s="683"/>
      <c r="L18" s="684">
        <f t="shared" si="0"/>
        <v>6537.52</v>
      </c>
      <c r="M18" s="685"/>
      <c r="N18" s="703">
        <f>SUM(N13:N17)</f>
        <v>289284.52</v>
      </c>
    </row>
    <row r="19" spans="1:14" ht="13.5" thickBot="1">
      <c r="A19" s="704">
        <v>4550239</v>
      </c>
      <c r="B19" s="705" t="s">
        <v>20</v>
      </c>
      <c r="C19" s="705" t="s">
        <v>93</v>
      </c>
      <c r="D19" s="706">
        <v>114950</v>
      </c>
      <c r="E19" s="707">
        <f>'2019'!N18</f>
        <v>81753.52</v>
      </c>
      <c r="F19" s="708">
        <v>4.93</v>
      </c>
      <c r="G19" s="709">
        <v>2012</v>
      </c>
      <c r="H19" s="709">
        <v>2031</v>
      </c>
      <c r="I19" s="710">
        <v>9111.38</v>
      </c>
      <c r="J19" s="711">
        <v>5136.21</v>
      </c>
      <c r="K19" s="35">
        <v>3030</v>
      </c>
      <c r="L19" s="712">
        <f>I19-J19</f>
        <v>3975.169999999999</v>
      </c>
      <c r="M19" s="66">
        <v>645</v>
      </c>
      <c r="N19" s="713">
        <f>E19-J19</f>
        <v>76617.31</v>
      </c>
    </row>
    <row r="20" spans="1:14" ht="13.5" thickBot="1">
      <c r="A20" s="674"/>
      <c r="B20" s="675"/>
      <c r="C20" s="675"/>
      <c r="D20" s="676"/>
      <c r="E20" s="682" t="s">
        <v>42</v>
      </c>
      <c r="F20" s="678"/>
      <c r="G20" s="680"/>
      <c r="H20" s="680" t="s">
        <v>43</v>
      </c>
      <c r="I20" s="681">
        <f>SUM(I19:I19)</f>
        <v>9111.38</v>
      </c>
      <c r="J20" s="682">
        <f>SUM(J19:J19)</f>
        <v>5136.21</v>
      </c>
      <c r="K20" s="685"/>
      <c r="L20" s="684">
        <f t="shared" si="0"/>
        <v>3975.169999999999</v>
      </c>
      <c r="M20" s="685"/>
      <c r="N20" s="703">
        <f>SUM(N19:N19)</f>
        <v>76617.31</v>
      </c>
    </row>
    <row r="21" spans="1:14" ht="12.75">
      <c r="A21" s="714" t="s">
        <v>28</v>
      </c>
      <c r="B21" s="688" t="s">
        <v>20</v>
      </c>
      <c r="C21" s="688" t="s">
        <v>29</v>
      </c>
      <c r="D21" s="689">
        <v>17559.53</v>
      </c>
      <c r="E21" s="726">
        <f>'2019'!N20</f>
        <v>1426.9099999999996</v>
      </c>
      <c r="F21" s="691">
        <v>5.75</v>
      </c>
      <c r="G21" s="692">
        <v>2001</v>
      </c>
      <c r="H21" s="775">
        <v>2020</v>
      </c>
      <c r="I21" s="693">
        <v>1488.78</v>
      </c>
      <c r="J21" s="715">
        <v>1426.91</v>
      </c>
      <c r="K21" s="35"/>
      <c r="L21" s="715">
        <f t="shared" si="0"/>
        <v>61.86999999999989</v>
      </c>
      <c r="M21" s="959">
        <v>760</v>
      </c>
      <c r="N21" s="716">
        <f t="shared" si="1"/>
        <v>0</v>
      </c>
    </row>
    <row r="22" spans="1:14" ht="12.75">
      <c r="A22" s="654">
        <v>4364549</v>
      </c>
      <c r="B22" s="655" t="s">
        <v>20</v>
      </c>
      <c r="C22" s="655" t="s">
        <v>29</v>
      </c>
      <c r="D22" s="656">
        <v>137377.54</v>
      </c>
      <c r="E22" s="690">
        <f>'2019'!N21</f>
        <v>11163.840000000004</v>
      </c>
      <c r="F22" s="658">
        <v>5.75</v>
      </c>
      <c r="G22" s="659">
        <v>2001</v>
      </c>
      <c r="H22" s="774">
        <v>2020</v>
      </c>
      <c r="I22" s="660">
        <v>11647.56</v>
      </c>
      <c r="J22" s="661">
        <v>11163.84</v>
      </c>
      <c r="K22" s="35"/>
      <c r="L22" s="661">
        <f t="shared" si="0"/>
        <v>483.71999999999935</v>
      </c>
      <c r="M22" s="957"/>
      <c r="N22" s="664">
        <f t="shared" si="1"/>
        <v>0</v>
      </c>
    </row>
    <row r="23" spans="1:14" ht="13.5" customHeight="1">
      <c r="A23" s="717">
        <v>4464738</v>
      </c>
      <c r="B23" s="655" t="s">
        <v>20</v>
      </c>
      <c r="C23" s="655" t="s">
        <v>29</v>
      </c>
      <c r="D23" s="668">
        <v>160000</v>
      </c>
      <c r="E23" s="690">
        <f>'2019'!N22</f>
        <v>59741.77</v>
      </c>
      <c r="F23" s="669">
        <v>3.4</v>
      </c>
      <c r="G23" s="670">
        <v>2006</v>
      </c>
      <c r="H23" s="670">
        <v>2025</v>
      </c>
      <c r="I23" s="671">
        <v>11091.2</v>
      </c>
      <c r="J23" s="672">
        <v>9136.99</v>
      </c>
      <c r="K23" s="35"/>
      <c r="L23" s="672">
        <f t="shared" si="0"/>
        <v>1954.210000000001</v>
      </c>
      <c r="M23" s="957"/>
      <c r="N23" s="664">
        <f t="shared" si="1"/>
        <v>50604.78</v>
      </c>
    </row>
    <row r="24" spans="1:14" ht="12.75">
      <c r="A24" s="717">
        <v>4478664</v>
      </c>
      <c r="B24" s="655" t="s">
        <v>20</v>
      </c>
      <c r="C24" s="655" t="s">
        <v>29</v>
      </c>
      <c r="D24" s="668">
        <v>53000</v>
      </c>
      <c r="E24" s="690">
        <f>'2019'!N23</f>
        <v>19789.46</v>
      </c>
      <c r="F24" s="669">
        <v>3.4</v>
      </c>
      <c r="G24" s="670">
        <v>2006</v>
      </c>
      <c r="H24" s="670">
        <v>2026</v>
      </c>
      <c r="I24" s="671">
        <v>3673.96</v>
      </c>
      <c r="J24" s="672">
        <v>3026.63</v>
      </c>
      <c r="K24" s="35"/>
      <c r="L24" s="672">
        <f t="shared" si="0"/>
        <v>647.3299999999999</v>
      </c>
      <c r="M24" s="957"/>
      <c r="N24" s="664">
        <f t="shared" si="1"/>
        <v>16762.829999999998</v>
      </c>
    </row>
    <row r="25" spans="1:14" ht="12.75">
      <c r="A25" s="666" t="s">
        <v>76</v>
      </c>
      <c r="B25" s="655" t="s">
        <v>20</v>
      </c>
      <c r="C25" s="655" t="s">
        <v>73</v>
      </c>
      <c r="D25" s="668">
        <v>100000</v>
      </c>
      <c r="E25" s="690">
        <f>'2019'!N24</f>
        <v>38042.4</v>
      </c>
      <c r="F25" s="669">
        <v>3.72</v>
      </c>
      <c r="G25" s="670">
        <v>2006</v>
      </c>
      <c r="H25" s="670">
        <v>2025</v>
      </c>
      <c r="I25" s="671">
        <v>7132.84</v>
      </c>
      <c r="J25" s="672">
        <v>5770.83</v>
      </c>
      <c r="K25" s="35"/>
      <c r="L25" s="672">
        <f t="shared" si="0"/>
        <v>1362.0100000000002</v>
      </c>
      <c r="M25" s="957"/>
      <c r="N25" s="664">
        <f t="shared" si="1"/>
        <v>32271.57</v>
      </c>
    </row>
    <row r="26" spans="1:14" ht="12.75">
      <c r="A26" s="666" t="s">
        <v>104</v>
      </c>
      <c r="B26" s="655" t="s">
        <v>20</v>
      </c>
      <c r="C26" s="655" t="s">
        <v>78</v>
      </c>
      <c r="D26" s="668">
        <v>120000</v>
      </c>
      <c r="E26" s="690">
        <f>'2019'!N25</f>
        <v>72652.78000000001</v>
      </c>
      <c r="F26" s="669">
        <v>4.32</v>
      </c>
      <c r="G26" s="670">
        <v>2010</v>
      </c>
      <c r="H26" s="670">
        <v>2029</v>
      </c>
      <c r="I26" s="671">
        <v>9027.68</v>
      </c>
      <c r="J26" s="672">
        <v>5946.92</v>
      </c>
      <c r="K26" s="35">
        <v>3030</v>
      </c>
      <c r="L26" s="672">
        <f t="shared" si="0"/>
        <v>3080.76</v>
      </c>
      <c r="M26" s="957"/>
      <c r="N26" s="664">
        <f t="shared" si="1"/>
        <v>66705.86000000002</v>
      </c>
    </row>
    <row r="27" spans="1:14" ht="12.75">
      <c r="A27" s="666" t="s">
        <v>103</v>
      </c>
      <c r="B27" s="667" t="s">
        <v>20</v>
      </c>
      <c r="C27" s="719" t="s">
        <v>107</v>
      </c>
      <c r="D27" s="668">
        <v>90000</v>
      </c>
      <c r="E27" s="690">
        <f>'2019'!N26</f>
        <v>54447.479999999996</v>
      </c>
      <c r="F27" s="669">
        <v>4.3</v>
      </c>
      <c r="G27" s="670">
        <v>2010</v>
      </c>
      <c r="H27" s="670">
        <v>2029</v>
      </c>
      <c r="I27" s="671">
        <v>6759.04</v>
      </c>
      <c r="J27" s="700">
        <v>4460.98</v>
      </c>
      <c r="K27" s="66"/>
      <c r="L27" s="701">
        <f t="shared" si="0"/>
        <v>2298.0600000000004</v>
      </c>
      <c r="M27" s="957"/>
      <c r="N27" s="664">
        <f t="shared" si="1"/>
        <v>49986.5</v>
      </c>
    </row>
    <row r="28" spans="1:14" ht="12.75">
      <c r="A28" s="666" t="s">
        <v>117</v>
      </c>
      <c r="B28" s="667" t="s">
        <v>20</v>
      </c>
      <c r="C28" s="719" t="s">
        <v>108</v>
      </c>
      <c r="D28" s="668">
        <v>152925</v>
      </c>
      <c r="E28" s="690">
        <f>'2019'!N27</f>
        <v>99775.52999999998</v>
      </c>
      <c r="F28" s="669">
        <v>4.43</v>
      </c>
      <c r="G28" s="670">
        <v>2011</v>
      </c>
      <c r="H28" s="670">
        <v>2029</v>
      </c>
      <c r="I28" s="671">
        <v>11483.74</v>
      </c>
      <c r="J28" s="700">
        <v>7263.8</v>
      </c>
      <c r="K28" s="66"/>
      <c r="L28" s="701">
        <f t="shared" si="0"/>
        <v>4219.94</v>
      </c>
      <c r="M28" s="957"/>
      <c r="N28" s="720">
        <f t="shared" si="1"/>
        <v>92511.72999999998</v>
      </c>
    </row>
    <row r="29" spans="1:14" ht="13.5" thickBot="1">
      <c r="A29" s="666">
        <v>4555218</v>
      </c>
      <c r="B29" s="667" t="s">
        <v>20</v>
      </c>
      <c r="C29" s="730" t="s">
        <v>109</v>
      </c>
      <c r="D29" s="668">
        <v>67572.27</v>
      </c>
      <c r="E29" s="690">
        <f>'2019'!N28</f>
        <v>50187.65</v>
      </c>
      <c r="F29" s="669">
        <v>6.51</v>
      </c>
      <c r="G29" s="670">
        <v>2012</v>
      </c>
      <c r="H29" s="670">
        <v>2031</v>
      </c>
      <c r="I29" s="671">
        <v>6092.5</v>
      </c>
      <c r="J29" s="700">
        <v>2868.76</v>
      </c>
      <c r="K29" s="66"/>
      <c r="L29" s="701">
        <f t="shared" si="0"/>
        <v>3223.74</v>
      </c>
      <c r="M29" s="957"/>
      <c r="N29" s="776">
        <f t="shared" si="1"/>
        <v>47318.89</v>
      </c>
    </row>
    <row r="30" spans="1:14" ht="12.75" hidden="1">
      <c r="A30" s="836" t="s">
        <v>74</v>
      </c>
      <c r="B30" s="667" t="s">
        <v>20</v>
      </c>
      <c r="C30" s="730" t="s">
        <v>180</v>
      </c>
      <c r="D30" s="837"/>
      <c r="E30" s="780"/>
      <c r="F30" s="669">
        <v>2.86</v>
      </c>
      <c r="G30" s="838">
        <v>2020</v>
      </c>
      <c r="H30" s="670">
        <v>2039</v>
      </c>
      <c r="I30" s="671"/>
      <c r="J30" s="700"/>
      <c r="K30" s="66"/>
      <c r="L30" s="701">
        <f t="shared" si="0"/>
        <v>0</v>
      </c>
      <c r="M30" s="957"/>
      <c r="N30" s="776">
        <f t="shared" si="1"/>
        <v>0</v>
      </c>
    </row>
    <row r="31" spans="1:14" ht="13.5" hidden="1" thickBot="1">
      <c r="A31" s="843"/>
      <c r="B31" s="844"/>
      <c r="C31" s="844"/>
      <c r="D31" s="845"/>
      <c r="E31" s="778"/>
      <c r="F31" s="722"/>
      <c r="G31" s="839"/>
      <c r="H31" s="723"/>
      <c r="I31" s="801"/>
      <c r="J31" s="724"/>
      <c r="K31" s="653"/>
      <c r="L31" s="724"/>
      <c r="M31" s="958"/>
      <c r="N31" s="756">
        <f>E31-J31</f>
        <v>0</v>
      </c>
    </row>
    <row r="32" spans="1:14" ht="13.5" thickBot="1">
      <c r="A32" s="674"/>
      <c r="B32" s="675"/>
      <c r="C32" s="675"/>
      <c r="D32" s="676"/>
      <c r="E32" s="725" t="s">
        <v>42</v>
      </c>
      <c r="F32" s="678"/>
      <c r="G32" s="679"/>
      <c r="H32" s="680" t="s">
        <v>43</v>
      </c>
      <c r="I32" s="681">
        <f>SUM(I21:I31)</f>
        <v>68397.29999999999</v>
      </c>
      <c r="J32" s="682">
        <f>SUM(J21:J31)</f>
        <v>51065.659999999996</v>
      </c>
      <c r="K32" s="685"/>
      <c r="L32" s="684">
        <f t="shared" si="0"/>
        <v>17331.639999999992</v>
      </c>
      <c r="M32" s="685"/>
      <c r="N32" s="703">
        <f>SUM(N21:N31)</f>
        <v>356162.16000000003</v>
      </c>
    </row>
    <row r="33" spans="1:14" ht="12.75" hidden="1">
      <c r="A33" s="714" t="s">
        <v>32</v>
      </c>
      <c r="B33" s="688" t="s">
        <v>20</v>
      </c>
      <c r="C33" s="688" t="s">
        <v>33</v>
      </c>
      <c r="D33" s="689">
        <v>13180.75</v>
      </c>
      <c r="E33" s="726">
        <f>'2019'!N32</f>
        <v>0</v>
      </c>
      <c r="F33" s="691">
        <v>6.5</v>
      </c>
      <c r="G33" s="692">
        <v>1998</v>
      </c>
      <c r="H33" s="692">
        <v>2017</v>
      </c>
      <c r="I33" s="693">
        <v>0</v>
      </c>
      <c r="J33" s="715"/>
      <c r="K33" s="35"/>
      <c r="L33" s="715">
        <f t="shared" si="0"/>
        <v>0</v>
      </c>
      <c r="M33" s="35"/>
      <c r="N33" s="727">
        <f t="shared" si="1"/>
        <v>0</v>
      </c>
    </row>
    <row r="34" spans="1:14" ht="12.75" hidden="1">
      <c r="A34" s="654">
        <v>4317937</v>
      </c>
      <c r="B34" s="655" t="s">
        <v>20</v>
      </c>
      <c r="C34" s="655" t="s">
        <v>33</v>
      </c>
      <c r="D34" s="656">
        <v>90110.63</v>
      </c>
      <c r="E34" s="726">
        <f>'2019'!N33</f>
        <v>0</v>
      </c>
      <c r="F34" s="658">
        <v>6.5</v>
      </c>
      <c r="G34" s="659">
        <v>1998</v>
      </c>
      <c r="H34" s="659">
        <v>2017</v>
      </c>
      <c r="I34" s="660">
        <v>0</v>
      </c>
      <c r="J34" s="661"/>
      <c r="K34" s="35">
        <v>3030</v>
      </c>
      <c r="L34" s="661">
        <f t="shared" si="0"/>
        <v>0</v>
      </c>
      <c r="M34" s="35">
        <v>820</v>
      </c>
      <c r="N34" s="664">
        <f t="shared" si="1"/>
        <v>0</v>
      </c>
    </row>
    <row r="35" spans="1:14" ht="13.5" hidden="1" thickBot="1">
      <c r="A35" s="665" t="s">
        <v>34</v>
      </c>
      <c r="B35" s="655" t="s">
        <v>20</v>
      </c>
      <c r="C35" s="655" t="s">
        <v>33</v>
      </c>
      <c r="D35" s="656">
        <v>51645.69</v>
      </c>
      <c r="E35" s="726">
        <f>'2019'!N34</f>
        <v>0</v>
      </c>
      <c r="F35" s="658">
        <v>6.5</v>
      </c>
      <c r="G35" s="659">
        <v>1998</v>
      </c>
      <c r="H35" s="659">
        <v>2017</v>
      </c>
      <c r="I35" s="660">
        <v>0</v>
      </c>
      <c r="J35" s="661"/>
      <c r="K35" s="35"/>
      <c r="L35" s="661">
        <f t="shared" si="0"/>
        <v>0</v>
      </c>
      <c r="M35" s="35"/>
      <c r="N35" s="664">
        <f t="shared" si="1"/>
        <v>0</v>
      </c>
    </row>
    <row r="36" spans="1:14" ht="13.5" hidden="1" thickBot="1">
      <c r="A36" s="674"/>
      <c r="B36" s="675"/>
      <c r="C36" s="675"/>
      <c r="D36" s="676"/>
      <c r="E36" s="682" t="s">
        <v>42</v>
      </c>
      <c r="F36" s="678"/>
      <c r="G36" s="679"/>
      <c r="H36" s="680" t="s">
        <v>43</v>
      </c>
      <c r="I36" s="681">
        <f>SUM(I33:I35)</f>
        <v>0</v>
      </c>
      <c r="J36" s="682">
        <f>SUM(J33:J35)</f>
        <v>0</v>
      </c>
      <c r="K36" s="685"/>
      <c r="L36" s="684">
        <f t="shared" si="0"/>
        <v>0</v>
      </c>
      <c r="M36" s="685"/>
      <c r="N36" s="703">
        <f>SUM(N33:N35)</f>
        <v>0</v>
      </c>
    </row>
    <row r="37" spans="1:14" ht="12.75">
      <c r="A37" s="687">
        <v>4444717</v>
      </c>
      <c r="B37" s="802" t="s">
        <v>181</v>
      </c>
      <c r="C37" s="688" t="s">
        <v>38</v>
      </c>
      <c r="D37" s="689">
        <v>98000</v>
      </c>
      <c r="E37" s="726">
        <f>'2019'!N36</f>
        <v>27552.449999999997</v>
      </c>
      <c r="F37" s="691">
        <v>0.97</v>
      </c>
      <c r="G37" s="692">
        <v>2004</v>
      </c>
      <c r="H37" s="863">
        <v>2024</v>
      </c>
      <c r="I37" s="864">
        <f>13.07+11.43</f>
        <v>24.5</v>
      </c>
      <c r="J37" s="865">
        <v>0</v>
      </c>
      <c r="K37" s="35"/>
      <c r="L37" s="715">
        <f t="shared" si="0"/>
        <v>24.5</v>
      </c>
      <c r="M37" s="959">
        <v>910</v>
      </c>
      <c r="N37" s="868">
        <f t="shared" si="1"/>
        <v>27552.449999999997</v>
      </c>
    </row>
    <row r="38" spans="1:14" ht="12.75">
      <c r="A38" s="654">
        <v>4388738</v>
      </c>
      <c r="B38" s="803" t="s">
        <v>181</v>
      </c>
      <c r="C38" s="655" t="s">
        <v>38</v>
      </c>
      <c r="D38" s="656">
        <v>103291.38</v>
      </c>
      <c r="E38" s="726">
        <f>'2019'!N37</f>
        <v>16041.559999999996</v>
      </c>
      <c r="F38" s="658">
        <v>5.5</v>
      </c>
      <c r="G38" s="659">
        <v>2002</v>
      </c>
      <c r="H38" s="860">
        <v>2021</v>
      </c>
      <c r="I38" s="861">
        <f>441.14+335.31</f>
        <v>776.45</v>
      </c>
      <c r="J38" s="862">
        <v>0</v>
      </c>
      <c r="K38" s="35"/>
      <c r="L38" s="661">
        <f t="shared" si="0"/>
        <v>776.45</v>
      </c>
      <c r="M38" s="957"/>
      <c r="N38" s="866">
        <f t="shared" si="1"/>
        <v>16041.559999999996</v>
      </c>
    </row>
    <row r="39" spans="1:14" ht="12.75">
      <c r="A39" s="654">
        <v>4363583</v>
      </c>
      <c r="B39" s="655" t="s">
        <v>20</v>
      </c>
      <c r="C39" s="655" t="s">
        <v>38</v>
      </c>
      <c r="D39" s="656">
        <v>49982.94</v>
      </c>
      <c r="E39" s="726">
        <f>'2019'!N38</f>
        <v>4053.6500000000015</v>
      </c>
      <c r="F39" s="658">
        <v>5.75</v>
      </c>
      <c r="G39" s="659">
        <v>2001</v>
      </c>
      <c r="H39" s="774">
        <v>2020</v>
      </c>
      <c r="I39" s="660">
        <v>4229.3</v>
      </c>
      <c r="J39" s="661">
        <v>4053.65</v>
      </c>
      <c r="K39" s="35">
        <v>3030</v>
      </c>
      <c r="L39" s="661">
        <f t="shared" si="0"/>
        <v>175.6500000000001</v>
      </c>
      <c r="M39" s="957"/>
      <c r="N39" s="664">
        <f t="shared" si="1"/>
        <v>0</v>
      </c>
    </row>
    <row r="40" spans="1:14" ht="12.75" customHeight="1" hidden="1">
      <c r="A40" s="699">
        <v>4317938</v>
      </c>
      <c r="B40" s="667" t="s">
        <v>20</v>
      </c>
      <c r="C40" s="667" t="s">
        <v>38</v>
      </c>
      <c r="D40" s="668">
        <v>50396.44</v>
      </c>
      <c r="E40" s="726">
        <f>'2019'!N39</f>
        <v>0</v>
      </c>
      <c r="F40" s="669">
        <v>6.5</v>
      </c>
      <c r="G40" s="670">
        <v>1998</v>
      </c>
      <c r="H40" s="670">
        <v>2017</v>
      </c>
      <c r="I40" s="671"/>
      <c r="J40" s="672"/>
      <c r="K40" s="35" t="s">
        <v>42</v>
      </c>
      <c r="L40" s="672">
        <f>I40-J40</f>
        <v>0</v>
      </c>
      <c r="M40" s="957"/>
      <c r="N40" s="728">
        <f>E40-J40</f>
        <v>0</v>
      </c>
    </row>
    <row r="41" spans="1:14" ht="13.5" thickBot="1">
      <c r="A41" s="666" t="s">
        <v>94</v>
      </c>
      <c r="B41" s="655" t="s">
        <v>20</v>
      </c>
      <c r="C41" s="655" t="s">
        <v>85</v>
      </c>
      <c r="D41" s="668">
        <v>130000</v>
      </c>
      <c r="E41" s="726">
        <f>'2019'!N40</f>
        <v>72456.56000000001</v>
      </c>
      <c r="F41" s="669">
        <v>4.39</v>
      </c>
      <c r="G41" s="670">
        <v>2008</v>
      </c>
      <c r="H41" s="670">
        <v>2028</v>
      </c>
      <c r="I41" s="671">
        <v>9832.52</v>
      </c>
      <c r="J41" s="672">
        <v>6724.68</v>
      </c>
      <c r="K41" s="35"/>
      <c r="L41" s="672">
        <f>I41-J41</f>
        <v>3107.84</v>
      </c>
      <c r="M41" s="958"/>
      <c r="N41" s="664">
        <f>E41-J41</f>
        <v>65731.88</v>
      </c>
    </row>
    <row r="42" spans="1:14" ht="13.5" thickBot="1">
      <c r="A42" s="729"/>
      <c r="B42" s="675"/>
      <c r="C42" s="675"/>
      <c r="D42" s="676"/>
      <c r="E42" s="682" t="s">
        <v>42</v>
      </c>
      <c r="F42" s="678"/>
      <c r="G42" s="679"/>
      <c r="H42" s="680" t="s">
        <v>43</v>
      </c>
      <c r="I42" s="681">
        <f>SUM(I37:I41)</f>
        <v>14862.77</v>
      </c>
      <c r="J42" s="682">
        <f>SUM(J37:J41)</f>
        <v>10778.33</v>
      </c>
      <c r="K42" s="685"/>
      <c r="L42" s="682">
        <f t="shared" si="0"/>
        <v>4084.4400000000005</v>
      </c>
      <c r="M42" s="685"/>
      <c r="N42" s="703">
        <f>SUM(N37:N41)</f>
        <v>109325.89</v>
      </c>
    </row>
    <row r="43" spans="1:14" ht="17.25" customHeight="1" thickBot="1">
      <c r="A43" s="666" t="s">
        <v>105</v>
      </c>
      <c r="B43" s="667" t="s">
        <v>20</v>
      </c>
      <c r="C43" s="730" t="s">
        <v>100</v>
      </c>
      <c r="D43" s="668">
        <v>50000</v>
      </c>
      <c r="E43" s="731">
        <f>'2019'!N42</f>
        <v>30272.01</v>
      </c>
      <c r="F43" s="669">
        <v>4.32</v>
      </c>
      <c r="G43" s="670">
        <v>2010</v>
      </c>
      <c r="H43" s="670">
        <v>2029</v>
      </c>
      <c r="I43" s="671">
        <v>3761.52</v>
      </c>
      <c r="J43" s="700">
        <v>2477.88</v>
      </c>
      <c r="K43" s="66">
        <v>3030</v>
      </c>
      <c r="L43" s="701">
        <f>I43-J43</f>
        <v>1283.6399999999999</v>
      </c>
      <c r="M43" s="66">
        <v>930</v>
      </c>
      <c r="N43" s="664">
        <f>E43-J43</f>
        <v>27794.129999999997</v>
      </c>
    </row>
    <row r="44" spans="1:14" ht="13.5" thickBot="1">
      <c r="A44" s="674"/>
      <c r="B44" s="675"/>
      <c r="C44" s="675"/>
      <c r="D44" s="676"/>
      <c r="E44" s="682" t="s">
        <v>42</v>
      </c>
      <c r="F44" s="678"/>
      <c r="G44" s="679"/>
      <c r="H44" s="680" t="s">
        <v>43</v>
      </c>
      <c r="I44" s="732">
        <f>SUM(I43:I43)</f>
        <v>3761.52</v>
      </c>
      <c r="J44" s="677">
        <f>SUM(J43:J43)</f>
        <v>2477.88</v>
      </c>
      <c r="K44" s="685"/>
      <c r="L44" s="684">
        <f t="shared" si="0"/>
        <v>1283.6399999999999</v>
      </c>
      <c r="M44" s="685"/>
      <c r="N44" s="703">
        <f>SUM(N43:N43)</f>
        <v>27794.129999999997</v>
      </c>
    </row>
    <row r="45" spans="1:14" ht="13.5" hidden="1" thickBot="1">
      <c r="A45" s="733"/>
      <c r="B45" s="734"/>
      <c r="C45" s="734"/>
      <c r="D45" s="735"/>
      <c r="E45" s="736"/>
      <c r="F45" s="737"/>
      <c r="G45" s="738"/>
      <c r="H45" s="738"/>
      <c r="I45" s="739"/>
      <c r="J45" s="736"/>
      <c r="K45" s="740"/>
      <c r="L45" s="715">
        <f t="shared" si="0"/>
        <v>0</v>
      </c>
      <c r="M45" s="66"/>
      <c r="N45" s="741">
        <f t="shared" si="1"/>
        <v>0</v>
      </c>
    </row>
    <row r="46" spans="1:14" ht="13.5" hidden="1" thickBot="1">
      <c r="A46" s="733"/>
      <c r="B46" s="734"/>
      <c r="C46" s="734"/>
      <c r="D46" s="735"/>
      <c r="E46" s="736"/>
      <c r="F46" s="737"/>
      <c r="G46" s="738"/>
      <c r="H46" s="738"/>
      <c r="I46" s="739"/>
      <c r="J46" s="736"/>
      <c r="K46" s="740"/>
      <c r="L46" s="661">
        <f t="shared" si="0"/>
        <v>0</v>
      </c>
      <c r="M46" s="27"/>
      <c r="N46" s="741">
        <f t="shared" si="1"/>
        <v>0</v>
      </c>
    </row>
    <row r="47" spans="1:14" ht="13.5" hidden="1" thickBot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661">
        <f t="shared" si="0"/>
        <v>0</v>
      </c>
      <c r="M47" s="27"/>
      <c r="N47" s="741">
        <f t="shared" si="1"/>
        <v>0</v>
      </c>
    </row>
    <row r="48" spans="1:14" ht="13.5" hidden="1" thickBot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0"/>
        <v>0</v>
      </c>
      <c r="M48" s="27"/>
      <c r="N48" s="741">
        <f t="shared" si="1"/>
        <v>0</v>
      </c>
    </row>
    <row r="49" spans="1:14" ht="13.5" hidden="1" thickBot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0"/>
        <v>0</v>
      </c>
      <c r="M49" s="27"/>
      <c r="N49" s="741">
        <f t="shared" si="1"/>
        <v>0</v>
      </c>
    </row>
    <row r="50" spans="1:14" ht="13.5" hidden="1" thickBot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0"/>
        <v>0</v>
      </c>
      <c r="M50" s="27"/>
      <c r="N50" s="741">
        <f t="shared" si="1"/>
        <v>0</v>
      </c>
    </row>
    <row r="51" spans="1:14" ht="13.5" hidden="1" thickBot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0"/>
        <v>0</v>
      </c>
      <c r="M51" s="27"/>
      <c r="N51" s="741">
        <f t="shared" si="1"/>
        <v>0</v>
      </c>
    </row>
    <row r="52" spans="1:14" ht="13.5" hidden="1" thickBot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0"/>
        <v>0</v>
      </c>
      <c r="M52" s="27"/>
      <c r="N52" s="741">
        <f t="shared" si="1"/>
        <v>0</v>
      </c>
    </row>
    <row r="53" spans="1:14" ht="13.5" hidden="1" thickBot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0"/>
        <v>0</v>
      </c>
      <c r="M53" s="27"/>
      <c r="N53" s="741">
        <f t="shared" si="1"/>
        <v>0</v>
      </c>
    </row>
    <row r="54" spans="1:14" ht="13.5" hidden="1" thickBot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0"/>
        <v>0</v>
      </c>
      <c r="M54" s="27"/>
      <c r="N54" s="741">
        <f t="shared" si="1"/>
        <v>0</v>
      </c>
    </row>
    <row r="55" spans="1:14" ht="13.5" hidden="1" thickBot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0"/>
        <v>0</v>
      </c>
      <c r="M55" s="27"/>
      <c r="N55" s="741">
        <f t="shared" si="1"/>
        <v>0</v>
      </c>
    </row>
    <row r="56" spans="1:14" ht="13.5" hidden="1" thickBot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0"/>
        <v>0</v>
      </c>
      <c r="M56" s="27"/>
      <c r="N56" s="741">
        <f t="shared" si="1"/>
        <v>0</v>
      </c>
    </row>
    <row r="57" spans="1:14" ht="13.5" hidden="1" thickBot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0"/>
        <v>0</v>
      </c>
      <c r="M57" s="27"/>
      <c r="N57" s="741">
        <f t="shared" si="1"/>
        <v>0</v>
      </c>
    </row>
    <row r="58" spans="1:14" ht="13.5" hidden="1" thickBot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0"/>
        <v>0</v>
      </c>
      <c r="M58" s="27"/>
      <c r="N58" s="741">
        <f t="shared" si="1"/>
        <v>0</v>
      </c>
    </row>
    <row r="59" spans="1:14" ht="13.5" hidden="1" thickBot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0"/>
        <v>0</v>
      </c>
      <c r="M59" s="27"/>
      <c r="N59" s="741">
        <f t="shared" si="1"/>
        <v>0</v>
      </c>
    </row>
    <row r="60" spans="1:14" ht="13.5" hidden="1" thickBot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0"/>
        <v>0</v>
      </c>
      <c r="M60" s="27"/>
      <c r="N60" s="741">
        <f t="shared" si="1"/>
        <v>0</v>
      </c>
    </row>
    <row r="61" spans="1:14" ht="13.5" hidden="1" thickBot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0"/>
        <v>0</v>
      </c>
      <c r="M61" s="27"/>
      <c r="N61" s="741">
        <f t="shared" si="1"/>
        <v>0</v>
      </c>
    </row>
    <row r="62" spans="1:14" ht="13.5" hidden="1" thickBot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0"/>
        <v>0</v>
      </c>
      <c r="M62" s="27"/>
      <c r="N62" s="741">
        <f t="shared" si="1"/>
        <v>0</v>
      </c>
    </row>
    <row r="63" spans="1:14" ht="13.5" hidden="1" thickBot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0"/>
        <v>0</v>
      </c>
      <c r="M63" s="27"/>
      <c r="N63" s="741">
        <f t="shared" si="1"/>
        <v>0</v>
      </c>
    </row>
    <row r="64" spans="1:14" ht="13.5" hidden="1" thickBot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0"/>
        <v>0</v>
      </c>
      <c r="M64" s="27"/>
      <c r="N64" s="741">
        <f t="shared" si="1"/>
        <v>0</v>
      </c>
    </row>
    <row r="65" spans="1:14" ht="13.5" hidden="1" thickBot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0"/>
        <v>0</v>
      </c>
      <c r="M65" s="27"/>
      <c r="N65" s="741">
        <f t="shared" si="1"/>
        <v>0</v>
      </c>
    </row>
    <row r="66" spans="1:14" ht="13.5" hidden="1" thickBot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0"/>
        <v>0</v>
      </c>
      <c r="M66" s="27"/>
      <c r="N66" s="741">
        <f t="shared" si="1"/>
        <v>0</v>
      </c>
    </row>
    <row r="67" spans="1:14" ht="13.5" hidden="1" thickBot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0"/>
        <v>0</v>
      </c>
      <c r="M67" s="27"/>
      <c r="N67" s="741">
        <f t="shared" si="1"/>
        <v>0</v>
      </c>
    </row>
    <row r="68" spans="1:14" ht="13.5" hidden="1" thickBot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 t="shared" si="0"/>
        <v>0</v>
      </c>
      <c r="M68" s="27"/>
      <c r="N68" s="741">
        <f t="shared" si="1"/>
        <v>0</v>
      </c>
    </row>
    <row r="69" spans="1:14" ht="13.5" hidden="1" thickBot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 t="shared" si="0"/>
        <v>0</v>
      </c>
      <c r="M69" s="27"/>
      <c r="N69" s="741">
        <f t="shared" si="1"/>
        <v>0</v>
      </c>
    </row>
    <row r="70" spans="1:14" ht="13.5" hidden="1" thickBot="1">
      <c r="A70" s="733"/>
      <c r="B70" s="734"/>
      <c r="C70" s="734"/>
      <c r="D70" s="735"/>
      <c r="E70" s="736"/>
      <c r="F70" s="737"/>
      <c r="G70" s="738"/>
      <c r="H70" s="738"/>
      <c r="I70" s="739"/>
      <c r="J70" s="736"/>
      <c r="K70" s="740"/>
      <c r="L70" s="661">
        <f t="shared" si="0"/>
        <v>0</v>
      </c>
      <c r="M70" s="27"/>
      <c r="N70" s="741">
        <f t="shared" si="1"/>
        <v>0</v>
      </c>
    </row>
    <row r="71" spans="1:14" ht="13.5" hidden="1" thickBot="1">
      <c r="A71" s="733"/>
      <c r="B71" s="734"/>
      <c r="C71" s="734"/>
      <c r="D71" s="735"/>
      <c r="E71" s="736"/>
      <c r="F71" s="737"/>
      <c r="G71" s="738"/>
      <c r="H71" s="738"/>
      <c r="I71" s="739"/>
      <c r="J71" s="736"/>
      <c r="K71" s="740"/>
      <c r="L71" s="661">
        <f>I71-J71</f>
        <v>0</v>
      </c>
      <c r="M71" s="27"/>
      <c r="N71" s="741">
        <f>E71-J71</f>
        <v>0</v>
      </c>
    </row>
    <row r="72" spans="1:14" ht="13.5" hidden="1" thickBot="1">
      <c r="A72" s="733"/>
      <c r="B72" s="734"/>
      <c r="C72" s="734"/>
      <c r="D72" s="735"/>
      <c r="E72" s="736"/>
      <c r="F72" s="737"/>
      <c r="G72" s="738"/>
      <c r="H72" s="738"/>
      <c r="I72" s="739"/>
      <c r="J72" s="736"/>
      <c r="K72" s="740"/>
      <c r="L72" s="661">
        <f>I72-J72</f>
        <v>0</v>
      </c>
      <c r="M72" s="27"/>
      <c r="N72" s="741">
        <f>E72-J72</f>
        <v>0</v>
      </c>
    </row>
    <row r="73" spans="1:14" ht="13.5" hidden="1" thickBot="1">
      <c r="A73" s="742"/>
      <c r="B73" s="705"/>
      <c r="C73" s="705"/>
      <c r="D73" s="706"/>
      <c r="E73" s="743"/>
      <c r="F73" s="708"/>
      <c r="G73" s="709"/>
      <c r="H73" s="709"/>
      <c r="I73" s="710"/>
      <c r="J73" s="743"/>
      <c r="K73" s="744"/>
      <c r="L73" s="672">
        <f>I73-J73</f>
        <v>0</v>
      </c>
      <c r="M73" s="27"/>
      <c r="N73" s="713">
        <f>E73-J73</f>
        <v>0</v>
      </c>
    </row>
    <row r="74" spans="1:14" ht="14.25" thickBot="1" thickTop="1">
      <c r="A74" s="745"/>
      <c r="B74" s="746"/>
      <c r="C74" s="747" t="s">
        <v>8</v>
      </c>
      <c r="D74" s="748">
        <f>SUM(D3:D73)</f>
        <v>3385279.25</v>
      </c>
      <c r="E74" s="749">
        <f>SUM(E3:E73)</f>
        <v>1166664.19</v>
      </c>
      <c r="F74" s="135"/>
      <c r="G74" s="135"/>
      <c r="H74" s="135"/>
      <c r="I74" s="750">
        <f>+I12+I18+I20+I32+I36+I42+I44</f>
        <v>145457.49999999997</v>
      </c>
      <c r="J74" s="750">
        <f>+J12+J18+J20+J32+J36+J42+J44</f>
        <v>107636.3</v>
      </c>
      <c r="K74" s="135"/>
      <c r="L74" s="750">
        <f>+L12+L18+L20+L32+L36+L42+L44</f>
        <v>37821.19999999999</v>
      </c>
      <c r="M74" s="135"/>
      <c r="N74" s="751">
        <f>+N12+N18+N20+N32+N36+N42+N44</f>
        <v>1059027.89</v>
      </c>
    </row>
    <row r="75" ht="13.5" thickTop="1"/>
    <row r="76" spans="9:14" ht="12.75">
      <c r="I76" s="875">
        <f>I3+I4+I37+I38</f>
        <v>1996.5</v>
      </c>
      <c r="J76" s="875">
        <f>J3+J4+J37+J38</f>
        <v>0</v>
      </c>
      <c r="K76" s="879"/>
      <c r="L76" s="875">
        <f>L3+L4+L37+L38</f>
        <v>1996.5</v>
      </c>
      <c r="M76" s="877" t="s">
        <v>181</v>
      </c>
      <c r="N76" s="876">
        <f>N3+N4+N37+N38</f>
        <v>183763.89</v>
      </c>
    </row>
    <row r="77" spans="1:14" ht="12.75">
      <c r="A77" s="829" t="s">
        <v>42</v>
      </c>
      <c r="I77" s="874">
        <f>I74-I76</f>
        <v>143460.99999999997</v>
      </c>
      <c r="J77" s="874">
        <f>J74-J76</f>
        <v>107636.3</v>
      </c>
      <c r="K77" s="885"/>
      <c r="L77" s="874">
        <f>L74-L76</f>
        <v>35824.69999999999</v>
      </c>
      <c r="M77" s="878" t="s">
        <v>188</v>
      </c>
      <c r="N77" s="873">
        <f>N74-N76</f>
        <v>875263.9999999999</v>
      </c>
    </row>
    <row r="78" spans="10:14" ht="12.75">
      <c r="J78" s="834"/>
      <c r="K78" s="833"/>
      <c r="M78" s="841"/>
      <c r="N78" s="840"/>
    </row>
    <row r="79" spans="10:12" ht="12.75">
      <c r="J79" s="835"/>
      <c r="L79" s="869"/>
    </row>
  </sheetData>
  <sheetProtection/>
  <mergeCells count="7">
    <mergeCell ref="A1:N1"/>
    <mergeCell ref="M3:M11"/>
    <mergeCell ref="M13:M17"/>
    <mergeCell ref="M37:M41"/>
    <mergeCell ref="K3:K11"/>
    <mergeCell ref="K13:K17"/>
    <mergeCell ref="M21:M3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10.7109375" style="829" customWidth="1"/>
    <col min="2" max="2" width="11.7109375" style="829" customWidth="1"/>
    <col min="3" max="3" width="53.421875" style="829" customWidth="1"/>
    <col min="4" max="5" width="12.00390625" style="829" customWidth="1"/>
    <col min="6" max="8" width="9.140625" style="829" customWidth="1"/>
    <col min="9" max="9" width="10.7109375" style="829" customWidth="1"/>
    <col min="10" max="10" width="11.8515625" style="829" customWidth="1"/>
    <col min="11" max="11" width="9.140625" style="829" customWidth="1"/>
    <col min="12" max="12" width="10.7109375" style="833" customWidth="1"/>
    <col min="13" max="13" width="9.140625" style="833" customWidth="1"/>
    <col min="14" max="14" width="12.00390625" style="752" customWidth="1"/>
    <col min="15" max="15" width="2.00390625" style="829" customWidth="1"/>
    <col min="16" max="16" width="9.140625" style="770" customWidth="1"/>
    <col min="17" max="17" width="10.00390625" style="770" customWidth="1"/>
    <col min="18" max="16384" width="9.140625" style="829" customWidth="1"/>
  </cols>
  <sheetData>
    <row r="1" spans="1:14" ht="24.75" customHeight="1" thickBot="1">
      <c r="A1" s="954" t="s">
        <v>167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168</v>
      </c>
      <c r="F2" s="138" t="s">
        <v>3</v>
      </c>
      <c r="G2" s="138" t="s">
        <v>4</v>
      </c>
      <c r="H2" s="138" t="s">
        <v>5</v>
      </c>
      <c r="I2" s="138" t="s">
        <v>169</v>
      </c>
      <c r="J2" s="138" t="s">
        <v>170</v>
      </c>
      <c r="K2" s="138" t="s">
        <v>6</v>
      </c>
      <c r="L2" s="138" t="s">
        <v>171</v>
      </c>
      <c r="M2" s="138" t="s">
        <v>6</v>
      </c>
      <c r="N2" s="139" t="s">
        <v>172</v>
      </c>
    </row>
    <row r="3" spans="1:15" ht="12.75">
      <c r="A3" s="654">
        <v>4425594</v>
      </c>
      <c r="B3" s="803" t="s">
        <v>181</v>
      </c>
      <c r="C3" s="655" t="s">
        <v>15</v>
      </c>
      <c r="D3" s="656">
        <v>413165</v>
      </c>
      <c r="E3" s="657">
        <f>'2020'!N3</f>
        <v>116530.35</v>
      </c>
      <c r="F3" s="658">
        <v>0.97</v>
      </c>
      <c r="G3" s="659">
        <v>2004</v>
      </c>
      <c r="H3" s="860">
        <v>2024</v>
      </c>
      <c r="I3" s="660">
        <v>28549.8</v>
      </c>
      <c r="J3" s="661">
        <v>28473.76</v>
      </c>
      <c r="K3" s="956">
        <v>3030</v>
      </c>
      <c r="L3" s="661">
        <f>I3-J3</f>
        <v>76.04000000000087</v>
      </c>
      <c r="M3" s="961">
        <v>283</v>
      </c>
      <c r="N3" s="905">
        <f>E3-J3</f>
        <v>88056.59000000001</v>
      </c>
      <c r="O3" s="830"/>
    </row>
    <row r="4" spans="1:14" ht="12.75">
      <c r="A4" s="654">
        <v>4403430</v>
      </c>
      <c r="B4" s="803" t="s">
        <v>181</v>
      </c>
      <c r="C4" s="655" t="s">
        <v>15</v>
      </c>
      <c r="D4" s="656">
        <v>154937.07</v>
      </c>
      <c r="E4" s="657">
        <f>'2020'!N4</f>
        <v>23639.530000000006</v>
      </c>
      <c r="F4" s="658">
        <v>5.25</v>
      </c>
      <c r="G4" s="659">
        <v>2002.2021</v>
      </c>
      <c r="H4" s="860">
        <v>2022</v>
      </c>
      <c r="I4" s="660">
        <v>12605.48</v>
      </c>
      <c r="J4" s="661">
        <v>12125.96</v>
      </c>
      <c r="K4" s="957"/>
      <c r="L4" s="661">
        <f aca="true" t="shared" si="0" ref="L4:L71">I4-J4</f>
        <v>479.52000000000044</v>
      </c>
      <c r="M4" s="962"/>
      <c r="N4" s="904">
        <f aca="true" t="shared" si="1" ref="N4:N71">E4-J4</f>
        <v>11513.570000000007</v>
      </c>
    </row>
    <row r="5" spans="1:14" ht="12" customHeight="1" hidden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'2020'!N5</f>
        <v>0</v>
      </c>
      <c r="F5" s="658">
        <v>5.75</v>
      </c>
      <c r="G5" s="659">
        <v>2001</v>
      </c>
      <c r="H5" s="831">
        <v>2020</v>
      </c>
      <c r="I5" s="660"/>
      <c r="J5" s="661"/>
      <c r="K5" s="957"/>
      <c r="L5" s="661">
        <f t="shared" si="0"/>
        <v>0</v>
      </c>
      <c r="M5" s="962"/>
      <c r="N5" s="664">
        <f t="shared" si="1"/>
        <v>0</v>
      </c>
    </row>
    <row r="6" spans="1:14" ht="12.75" customHeight="1" hidden="1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'2020'!N6</f>
        <v>0</v>
      </c>
      <c r="F6" s="658">
        <v>5.75</v>
      </c>
      <c r="G6" s="659">
        <v>2001</v>
      </c>
      <c r="H6" s="831">
        <v>2020</v>
      </c>
      <c r="I6" s="660"/>
      <c r="J6" s="661"/>
      <c r="K6" s="957"/>
      <c r="L6" s="661">
        <f t="shared" si="0"/>
        <v>0</v>
      </c>
      <c r="M6" s="962"/>
      <c r="N6" s="664">
        <f t="shared" si="1"/>
        <v>0</v>
      </c>
    </row>
    <row r="7" spans="1:14" ht="12.75" customHeight="1" hidden="1">
      <c r="A7" s="654">
        <v>4354048</v>
      </c>
      <c r="B7" s="655" t="s">
        <v>7</v>
      </c>
      <c r="C7" s="655" t="s">
        <v>15</v>
      </c>
      <c r="D7" s="656">
        <v>179245.09</v>
      </c>
      <c r="E7" s="657">
        <f>'2019'!N7</f>
        <v>0</v>
      </c>
      <c r="F7" s="658">
        <v>0</v>
      </c>
      <c r="G7" s="659">
        <v>2000</v>
      </c>
      <c r="H7" s="659">
        <v>2019</v>
      </c>
      <c r="I7" s="660"/>
      <c r="J7" s="661"/>
      <c r="K7" s="957"/>
      <c r="L7" s="661">
        <f t="shared" si="0"/>
        <v>0</v>
      </c>
      <c r="M7" s="962"/>
      <c r="N7" s="664">
        <f t="shared" si="1"/>
        <v>0</v>
      </c>
    </row>
    <row r="8" spans="1:14" ht="12.75" customHeight="1" hidden="1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'2019'!N8</f>
        <v>0</v>
      </c>
      <c r="F8" s="658">
        <v>6.5</v>
      </c>
      <c r="G8" s="659">
        <v>1998</v>
      </c>
      <c r="H8" s="659">
        <v>2017</v>
      </c>
      <c r="I8" s="660"/>
      <c r="J8" s="661"/>
      <c r="K8" s="957"/>
      <c r="L8" s="661">
        <f t="shared" si="0"/>
        <v>0</v>
      </c>
      <c r="M8" s="962"/>
      <c r="N8" s="664">
        <f t="shared" si="1"/>
        <v>0</v>
      </c>
    </row>
    <row r="9" spans="1:14" ht="12.75" customHeight="1" hidden="1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'2019'!N9</f>
        <v>0</v>
      </c>
      <c r="F9" s="658">
        <v>6.5</v>
      </c>
      <c r="G9" s="659">
        <v>1998</v>
      </c>
      <c r="H9" s="659">
        <v>2017</v>
      </c>
      <c r="I9" s="660"/>
      <c r="J9" s="661"/>
      <c r="K9" s="957"/>
      <c r="L9" s="661">
        <f>I9-J9</f>
        <v>0</v>
      </c>
      <c r="M9" s="962"/>
      <c r="N9" s="664">
        <f>E9-J9</f>
        <v>0</v>
      </c>
    </row>
    <row r="10" spans="1:14" ht="12.75">
      <c r="A10" s="717" t="s">
        <v>77</v>
      </c>
      <c r="B10" s="667" t="s">
        <v>7</v>
      </c>
      <c r="C10" s="667" t="s">
        <v>72</v>
      </c>
      <c r="D10" s="668">
        <v>80000</v>
      </c>
      <c r="E10" s="657">
        <f>'2020'!N10</f>
        <v>25849.489999999998</v>
      </c>
      <c r="F10" s="669">
        <v>3.72</v>
      </c>
      <c r="G10" s="670">
        <v>2006</v>
      </c>
      <c r="H10" s="670">
        <v>2025</v>
      </c>
      <c r="I10" s="671">
        <v>5716.4</v>
      </c>
      <c r="J10" s="672">
        <v>4794.03</v>
      </c>
      <c r="K10" s="957"/>
      <c r="L10" s="672">
        <f>I10-J10</f>
        <v>922.3699999999999</v>
      </c>
      <c r="M10" s="962"/>
      <c r="N10" s="906">
        <f>E10-J10</f>
        <v>21055.46</v>
      </c>
    </row>
    <row r="11" spans="1:14" ht="13.5" thickBot="1">
      <c r="A11" s="665" t="s">
        <v>102</v>
      </c>
      <c r="B11" s="655" t="s">
        <v>20</v>
      </c>
      <c r="C11" s="655" t="s">
        <v>92</v>
      </c>
      <c r="D11" s="656">
        <v>60000</v>
      </c>
      <c r="E11" s="657">
        <f>'2020'!N11</f>
        <v>33824.509999999995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3103.96</v>
      </c>
      <c r="K11" s="958"/>
      <c r="L11" s="672">
        <f>I11-J11</f>
        <v>1540.1400000000003</v>
      </c>
      <c r="M11" s="963"/>
      <c r="N11" s="906">
        <f>E11-J11</f>
        <v>30720.549999999996</v>
      </c>
    </row>
    <row r="12" spans="1:14" ht="13.5" thickBot="1">
      <c r="A12" s="674"/>
      <c r="B12" s="675"/>
      <c r="C12" s="675"/>
      <c r="D12" s="676"/>
      <c r="E12" s="682" t="s">
        <v>42</v>
      </c>
      <c r="F12" s="678"/>
      <c r="G12" s="679"/>
      <c r="H12" s="680" t="s">
        <v>43</v>
      </c>
      <c r="I12" s="681">
        <f>SUM(I3:I11)</f>
        <v>51515.78</v>
      </c>
      <c r="J12" s="682">
        <f>SUM(J3:J11)</f>
        <v>48497.71</v>
      </c>
      <c r="K12" s="683"/>
      <c r="L12" s="684">
        <f t="shared" si="0"/>
        <v>3018.0699999999997</v>
      </c>
      <c r="M12" s="685"/>
      <c r="N12" s="686">
        <f>SUM(N3:N11)</f>
        <v>151346.17</v>
      </c>
    </row>
    <row r="13" spans="1:14" ht="12.75" hidden="1">
      <c r="A13" s="687">
        <v>4367661</v>
      </c>
      <c r="B13" s="688" t="s">
        <v>20</v>
      </c>
      <c r="C13" s="688" t="s">
        <v>21</v>
      </c>
      <c r="D13" s="689">
        <v>51645.69</v>
      </c>
      <c r="E13" s="726">
        <f>'2020'!N13</f>
        <v>0</v>
      </c>
      <c r="F13" s="691">
        <v>5.75</v>
      </c>
      <c r="G13" s="692">
        <v>2001</v>
      </c>
      <c r="H13" s="832">
        <v>2020</v>
      </c>
      <c r="I13" s="693"/>
      <c r="J13" s="694"/>
      <c r="K13" s="959">
        <v>3030</v>
      </c>
      <c r="L13" s="695">
        <f t="shared" si="0"/>
        <v>0</v>
      </c>
      <c r="M13" s="959">
        <v>518</v>
      </c>
      <c r="N13" s="696">
        <f t="shared" si="1"/>
        <v>0</v>
      </c>
    </row>
    <row r="14" spans="1:14" ht="12.75" hidden="1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'2020'!N14</f>
        <v>0</v>
      </c>
      <c r="F14" s="658">
        <v>5.75</v>
      </c>
      <c r="G14" s="659">
        <v>2001</v>
      </c>
      <c r="H14" s="831">
        <v>2020</v>
      </c>
      <c r="I14" s="660"/>
      <c r="J14" s="697"/>
      <c r="K14" s="957"/>
      <c r="L14" s="698">
        <f t="shared" si="0"/>
        <v>0</v>
      </c>
      <c r="M14" s="957"/>
      <c r="N14" s="664">
        <f t="shared" si="1"/>
        <v>0</v>
      </c>
    </row>
    <row r="15" spans="1:14" ht="12.75" customHeight="1" hidden="1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'2019'!N15</f>
        <v>0</v>
      </c>
      <c r="F15" s="658">
        <v>4.85</v>
      </c>
      <c r="G15" s="659">
        <v>1999</v>
      </c>
      <c r="H15" s="659">
        <v>2018</v>
      </c>
      <c r="I15" s="660"/>
      <c r="J15" s="697"/>
      <c r="K15" s="957"/>
      <c r="L15" s="698">
        <f t="shared" si="0"/>
        <v>0</v>
      </c>
      <c r="M15" s="957"/>
      <c r="N15" s="664">
        <f t="shared" si="1"/>
        <v>0</v>
      </c>
    </row>
    <row r="16" spans="1:14" ht="12.75">
      <c r="A16" s="699">
        <v>4555239</v>
      </c>
      <c r="B16" s="667" t="s">
        <v>20</v>
      </c>
      <c r="C16" s="667" t="s">
        <v>164</v>
      </c>
      <c r="D16" s="668">
        <v>127500</v>
      </c>
      <c r="E16" s="690">
        <f>'2020'!N16</f>
        <v>89284.52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5771.37</v>
      </c>
      <c r="K16" s="957"/>
      <c r="L16" s="701">
        <f>I16-J16</f>
        <v>5724.39</v>
      </c>
      <c r="M16" s="957"/>
      <c r="N16" s="899">
        <f>E16-J16</f>
        <v>83513.15000000001</v>
      </c>
    </row>
    <row r="17" spans="1:14" ht="12.75">
      <c r="A17" s="699" t="s">
        <v>196</v>
      </c>
      <c r="B17" s="667" t="s">
        <v>20</v>
      </c>
      <c r="C17" s="667" t="s">
        <v>195</v>
      </c>
      <c r="D17" s="668">
        <v>200000</v>
      </c>
      <c r="E17" s="690">
        <f>'2020'!N17</f>
        <v>200000</v>
      </c>
      <c r="F17" s="669">
        <v>1.04</v>
      </c>
      <c r="G17" s="670">
        <v>2021</v>
      </c>
      <c r="H17" s="670">
        <v>2040</v>
      </c>
      <c r="I17" s="671">
        <v>11101.92</v>
      </c>
      <c r="J17" s="700">
        <v>9045.37</v>
      </c>
      <c r="K17" s="957"/>
      <c r="L17" s="701">
        <f>I17-J17</f>
        <v>2056.5499999999993</v>
      </c>
      <c r="M17" s="957"/>
      <c r="N17" s="899">
        <f>E17-J17</f>
        <v>190954.63</v>
      </c>
    </row>
    <row r="18" spans="1:14" ht="13.5" thickBot="1">
      <c r="A18" s="781" t="s">
        <v>74</v>
      </c>
      <c r="B18" s="667" t="s">
        <v>20</v>
      </c>
      <c r="C18" s="667" t="s">
        <v>195</v>
      </c>
      <c r="D18" s="668">
        <v>150000</v>
      </c>
      <c r="E18" s="690">
        <v>150000</v>
      </c>
      <c r="F18" s="669">
        <v>1.5</v>
      </c>
      <c r="G18" s="908">
        <v>2023</v>
      </c>
      <c r="H18" s="670">
        <v>2042</v>
      </c>
      <c r="I18" s="671">
        <v>0</v>
      </c>
      <c r="J18" s="700">
        <v>0</v>
      </c>
      <c r="K18" s="958"/>
      <c r="L18" s="701">
        <f>I18-J18</f>
        <v>0</v>
      </c>
      <c r="M18" s="958"/>
      <c r="N18" s="899">
        <f>E18-J18</f>
        <v>150000</v>
      </c>
    </row>
    <row r="19" spans="1:14" ht="13.5" thickBot="1">
      <c r="A19" s="674"/>
      <c r="B19" s="675"/>
      <c r="C19" s="675"/>
      <c r="D19" s="676"/>
      <c r="E19" s="702" t="s">
        <v>42</v>
      </c>
      <c r="F19" s="678"/>
      <c r="G19" s="679"/>
      <c r="H19" s="680" t="s">
        <v>43</v>
      </c>
      <c r="I19" s="681">
        <f>SUM(I13:I18)</f>
        <v>22597.68</v>
      </c>
      <c r="J19" s="681">
        <f>SUM(J13:J18)</f>
        <v>14816.740000000002</v>
      </c>
      <c r="K19" s="683"/>
      <c r="L19" s="684">
        <f t="shared" si="0"/>
        <v>7780.939999999999</v>
      </c>
      <c r="M19" s="685"/>
      <c r="N19" s="703">
        <f>SUM(N13:N18)</f>
        <v>424467.78</v>
      </c>
    </row>
    <row r="20" spans="1:14" ht="13.5" thickBot="1">
      <c r="A20" s="704">
        <v>4550239</v>
      </c>
      <c r="B20" s="705" t="s">
        <v>20</v>
      </c>
      <c r="C20" s="705" t="s">
        <v>93</v>
      </c>
      <c r="D20" s="706">
        <v>114950</v>
      </c>
      <c r="E20" s="707">
        <f>'2020'!N19</f>
        <v>76617.31</v>
      </c>
      <c r="F20" s="708">
        <v>4.93</v>
      </c>
      <c r="G20" s="709">
        <v>2012</v>
      </c>
      <c r="H20" s="709">
        <v>2031</v>
      </c>
      <c r="I20" s="710">
        <v>9111.38</v>
      </c>
      <c r="J20" s="711">
        <v>5393.02</v>
      </c>
      <c r="K20" s="35">
        <v>3030</v>
      </c>
      <c r="L20" s="712">
        <f>I20-J20</f>
        <v>3718.3599999999988</v>
      </c>
      <c r="M20" s="66">
        <v>645</v>
      </c>
      <c r="N20" s="901">
        <f>E20-J20</f>
        <v>71224.29</v>
      </c>
    </row>
    <row r="21" spans="1:14" ht="13.5" thickBot="1">
      <c r="A21" s="674"/>
      <c r="B21" s="675"/>
      <c r="C21" s="675"/>
      <c r="D21" s="676"/>
      <c r="E21" s="677" t="s">
        <v>42</v>
      </c>
      <c r="F21" s="678"/>
      <c r="G21" s="680"/>
      <c r="H21" s="680" t="s">
        <v>43</v>
      </c>
      <c r="I21" s="681">
        <f>SUM(I20:I20)</f>
        <v>9111.38</v>
      </c>
      <c r="J21" s="682">
        <f>SUM(J20:J20)</f>
        <v>5393.02</v>
      </c>
      <c r="K21" s="685"/>
      <c r="L21" s="684">
        <f t="shared" si="0"/>
        <v>3718.3599999999988</v>
      </c>
      <c r="M21" s="685"/>
      <c r="N21" s="703">
        <f>SUM(N20:N20)</f>
        <v>71224.29</v>
      </c>
    </row>
    <row r="22" spans="1:14" ht="12.75" hidden="1">
      <c r="A22" s="714" t="s">
        <v>28</v>
      </c>
      <c r="B22" s="688" t="s">
        <v>20</v>
      </c>
      <c r="C22" s="688" t="s">
        <v>29</v>
      </c>
      <c r="D22" s="689">
        <v>17559.53</v>
      </c>
      <c r="E22" s="690">
        <f>'2020'!N21</f>
        <v>0</v>
      </c>
      <c r="F22" s="691">
        <v>5.75</v>
      </c>
      <c r="G22" s="692">
        <v>2001</v>
      </c>
      <c r="H22" s="832">
        <v>2020</v>
      </c>
      <c r="I22" s="693"/>
      <c r="J22" s="715"/>
      <c r="K22" s="35"/>
      <c r="L22" s="715">
        <f t="shared" si="0"/>
        <v>0</v>
      </c>
      <c r="M22" s="35"/>
      <c r="N22" s="716">
        <f t="shared" si="1"/>
        <v>0</v>
      </c>
    </row>
    <row r="23" spans="1:14" ht="12.75" hidden="1">
      <c r="A23" s="654">
        <v>4364549</v>
      </c>
      <c r="B23" s="655" t="s">
        <v>20</v>
      </c>
      <c r="C23" s="655" t="s">
        <v>29</v>
      </c>
      <c r="D23" s="656">
        <v>137377.54</v>
      </c>
      <c r="E23" s="690">
        <f>'2020'!N22</f>
        <v>0</v>
      </c>
      <c r="F23" s="658">
        <v>5.75</v>
      </c>
      <c r="G23" s="659">
        <v>2001</v>
      </c>
      <c r="H23" s="831">
        <v>2020</v>
      </c>
      <c r="I23" s="660"/>
      <c r="J23" s="661"/>
      <c r="K23" s="35"/>
      <c r="L23" s="661">
        <f t="shared" si="0"/>
        <v>0</v>
      </c>
      <c r="M23" s="35"/>
      <c r="N23" s="664">
        <f t="shared" si="1"/>
        <v>0</v>
      </c>
    </row>
    <row r="24" spans="1:14" ht="13.5" customHeight="1">
      <c r="A24" s="717">
        <v>4464738</v>
      </c>
      <c r="B24" s="655" t="s">
        <v>20</v>
      </c>
      <c r="C24" s="655" t="s">
        <v>29</v>
      </c>
      <c r="D24" s="668">
        <v>160000</v>
      </c>
      <c r="E24" s="690">
        <f>'2020'!N23</f>
        <v>50604.78</v>
      </c>
      <c r="F24" s="669">
        <v>3.4</v>
      </c>
      <c r="G24" s="670">
        <v>2006</v>
      </c>
      <c r="H24" s="670">
        <v>2025</v>
      </c>
      <c r="I24" s="671">
        <v>11091.2</v>
      </c>
      <c r="J24" s="672">
        <v>9450.29</v>
      </c>
      <c r="K24" s="957">
        <v>3030</v>
      </c>
      <c r="L24" s="672">
        <f t="shared" si="0"/>
        <v>1640.9099999999999</v>
      </c>
      <c r="M24" s="957">
        <v>760</v>
      </c>
      <c r="N24" s="899">
        <f t="shared" si="1"/>
        <v>41154.49</v>
      </c>
    </row>
    <row r="25" spans="1:14" ht="12.75">
      <c r="A25" s="717">
        <v>4478664</v>
      </c>
      <c r="B25" s="655" t="s">
        <v>20</v>
      </c>
      <c r="C25" s="655" t="s">
        <v>29</v>
      </c>
      <c r="D25" s="668">
        <v>53000</v>
      </c>
      <c r="E25" s="690">
        <f>'2020'!N24</f>
        <v>16762.829999999998</v>
      </c>
      <c r="F25" s="669">
        <v>3.4</v>
      </c>
      <c r="G25" s="670">
        <v>2006</v>
      </c>
      <c r="H25" s="670">
        <v>2026</v>
      </c>
      <c r="I25" s="671">
        <v>3673.96</v>
      </c>
      <c r="J25" s="672">
        <v>3130.41</v>
      </c>
      <c r="K25" s="957"/>
      <c r="L25" s="672">
        <f t="shared" si="0"/>
        <v>543.5500000000002</v>
      </c>
      <c r="M25" s="957"/>
      <c r="N25" s="899">
        <f t="shared" si="1"/>
        <v>13632.419999999998</v>
      </c>
    </row>
    <row r="26" spans="1:14" ht="12.75">
      <c r="A26" s="717" t="s">
        <v>76</v>
      </c>
      <c r="B26" s="655" t="s">
        <v>20</v>
      </c>
      <c r="C26" s="655" t="s">
        <v>73</v>
      </c>
      <c r="D26" s="668">
        <v>100000</v>
      </c>
      <c r="E26" s="690">
        <f>'2020'!N25</f>
        <v>32271.57</v>
      </c>
      <c r="F26" s="669">
        <v>3.72</v>
      </c>
      <c r="G26" s="670">
        <v>2006</v>
      </c>
      <c r="H26" s="670">
        <v>2025</v>
      </c>
      <c r="I26" s="671">
        <v>7132.84</v>
      </c>
      <c r="J26" s="672">
        <v>5987.51</v>
      </c>
      <c r="K26" s="957"/>
      <c r="L26" s="672">
        <f t="shared" si="0"/>
        <v>1145.33</v>
      </c>
      <c r="M26" s="957"/>
      <c r="N26" s="899">
        <f t="shared" si="1"/>
        <v>26284.059999999998</v>
      </c>
    </row>
    <row r="27" spans="1:14" ht="12.75">
      <c r="A27" s="717" t="s">
        <v>104</v>
      </c>
      <c r="B27" s="655" t="s">
        <v>20</v>
      </c>
      <c r="C27" s="655" t="s">
        <v>78</v>
      </c>
      <c r="D27" s="668">
        <v>120000</v>
      </c>
      <c r="E27" s="690">
        <f>'2020'!N26</f>
        <v>66705.86000000002</v>
      </c>
      <c r="F27" s="669">
        <v>4.32</v>
      </c>
      <c r="G27" s="670">
        <v>2010</v>
      </c>
      <c r="H27" s="670">
        <v>2029</v>
      </c>
      <c r="I27" s="671">
        <v>9027.68</v>
      </c>
      <c r="J27" s="672">
        <v>6207.08</v>
      </c>
      <c r="K27" s="957"/>
      <c r="L27" s="672">
        <f t="shared" si="0"/>
        <v>2820.6000000000004</v>
      </c>
      <c r="M27" s="957"/>
      <c r="N27" s="899">
        <f t="shared" si="1"/>
        <v>60498.78000000001</v>
      </c>
    </row>
    <row r="28" spans="1:14" ht="12.75">
      <c r="A28" s="717" t="s">
        <v>103</v>
      </c>
      <c r="B28" s="667" t="s">
        <v>20</v>
      </c>
      <c r="C28" s="719" t="s">
        <v>107</v>
      </c>
      <c r="D28" s="668">
        <v>90000</v>
      </c>
      <c r="E28" s="690">
        <f>'2020'!N27</f>
        <v>49986.5</v>
      </c>
      <c r="F28" s="669">
        <v>4.3</v>
      </c>
      <c r="G28" s="670">
        <v>2010</v>
      </c>
      <c r="H28" s="670">
        <v>2029</v>
      </c>
      <c r="I28" s="671">
        <v>6759.04</v>
      </c>
      <c r="J28" s="700">
        <v>4655.22</v>
      </c>
      <c r="K28" s="957"/>
      <c r="L28" s="701">
        <f t="shared" si="0"/>
        <v>2103.8199999999997</v>
      </c>
      <c r="M28" s="957"/>
      <c r="N28" s="899">
        <f t="shared" si="1"/>
        <v>45331.28</v>
      </c>
    </row>
    <row r="29" spans="1:14" ht="12.75">
      <c r="A29" s="717" t="s">
        <v>117</v>
      </c>
      <c r="B29" s="667" t="s">
        <v>20</v>
      </c>
      <c r="C29" s="719" t="s">
        <v>108</v>
      </c>
      <c r="D29" s="668">
        <v>152925</v>
      </c>
      <c r="E29" s="690">
        <f>'2020'!N28</f>
        <v>92511.72999999998</v>
      </c>
      <c r="F29" s="669">
        <v>4.43</v>
      </c>
      <c r="G29" s="670">
        <v>2011</v>
      </c>
      <c r="H29" s="670">
        <v>2029</v>
      </c>
      <c r="I29" s="671">
        <v>11483.74</v>
      </c>
      <c r="J29" s="700">
        <v>7580.01</v>
      </c>
      <c r="K29" s="957"/>
      <c r="L29" s="701">
        <f t="shared" si="0"/>
        <v>3903.7299999999996</v>
      </c>
      <c r="M29" s="957"/>
      <c r="N29" s="902">
        <f t="shared" si="1"/>
        <v>84931.71999999999</v>
      </c>
    </row>
    <row r="30" spans="1:14" ht="17.25" customHeight="1" thickBot="1">
      <c r="A30" s="717">
        <v>4555218</v>
      </c>
      <c r="B30" s="667" t="s">
        <v>20</v>
      </c>
      <c r="C30" s="730" t="s">
        <v>109</v>
      </c>
      <c r="D30" s="668">
        <v>140000</v>
      </c>
      <c r="E30" s="690">
        <f>'2020'!N29</f>
        <v>47318.89</v>
      </c>
      <c r="F30" s="669">
        <v>6.51</v>
      </c>
      <c r="G30" s="670">
        <v>2012</v>
      </c>
      <c r="H30" s="670">
        <v>2031</v>
      </c>
      <c r="I30" s="671">
        <v>6092.5</v>
      </c>
      <c r="J30" s="700">
        <v>3058.7</v>
      </c>
      <c r="K30" s="957"/>
      <c r="L30" s="701">
        <f t="shared" si="0"/>
        <v>3033.8</v>
      </c>
      <c r="M30" s="957"/>
      <c r="N30" s="900">
        <f t="shared" si="1"/>
        <v>44260.19</v>
      </c>
    </row>
    <row r="31" spans="1:14" ht="27" customHeight="1" hidden="1">
      <c r="A31" s="836" t="s">
        <v>74</v>
      </c>
      <c r="B31" s="667" t="s">
        <v>20</v>
      </c>
      <c r="C31" s="730" t="s">
        <v>180</v>
      </c>
      <c r="D31" s="837"/>
      <c r="E31" s="690">
        <f>'2020'!N30</f>
        <v>0</v>
      </c>
      <c r="F31" s="669">
        <v>2.86</v>
      </c>
      <c r="G31" s="838">
        <v>2020</v>
      </c>
      <c r="H31" s="670">
        <v>2039</v>
      </c>
      <c r="I31" s="671"/>
      <c r="J31" s="700"/>
      <c r="K31" s="66"/>
      <c r="L31" s="701">
        <f t="shared" si="0"/>
        <v>0</v>
      </c>
      <c r="M31" s="957"/>
      <c r="N31" s="776">
        <f t="shared" si="1"/>
        <v>0</v>
      </c>
    </row>
    <row r="32" spans="1:17" s="810" customFormat="1" ht="13.5" hidden="1" thickBot="1">
      <c r="A32" s="843"/>
      <c r="B32" s="844"/>
      <c r="C32" s="844"/>
      <c r="D32" s="845"/>
      <c r="E32" s="846"/>
      <c r="F32" s="847"/>
      <c r="G32" s="842"/>
      <c r="H32" s="848"/>
      <c r="I32" s="849"/>
      <c r="J32" s="850"/>
      <c r="K32" s="851"/>
      <c r="L32" s="850"/>
      <c r="M32" s="958"/>
      <c r="N32" s="852"/>
      <c r="P32" s="853"/>
      <c r="Q32" s="853"/>
    </row>
    <row r="33" spans="1:14" ht="13.5" thickBot="1">
      <c r="A33" s="674"/>
      <c r="B33" s="675"/>
      <c r="C33" s="675"/>
      <c r="D33" s="676"/>
      <c r="E33" s="725" t="s">
        <v>42</v>
      </c>
      <c r="F33" s="678"/>
      <c r="G33" s="679"/>
      <c r="H33" s="680" t="s">
        <v>43</v>
      </c>
      <c r="I33" s="681">
        <f>SUM(I22:I32)</f>
        <v>55260.96</v>
      </c>
      <c r="J33" s="682">
        <f>SUM(J22:J32)</f>
        <v>40069.22</v>
      </c>
      <c r="K33" s="685"/>
      <c r="L33" s="684">
        <f t="shared" si="0"/>
        <v>15191.739999999998</v>
      </c>
      <c r="M33" s="685"/>
      <c r="N33" s="703">
        <f>SUM(N22:N32)</f>
        <v>316092.94</v>
      </c>
    </row>
    <row r="34" spans="1:14" ht="13.5" hidden="1" thickBot="1">
      <c r="A34" s="714" t="s">
        <v>32</v>
      </c>
      <c r="B34" s="688" t="s">
        <v>20</v>
      </c>
      <c r="C34" s="688" t="s">
        <v>33</v>
      </c>
      <c r="D34" s="689">
        <v>13180.75</v>
      </c>
      <c r="E34" s="726">
        <f>'2019'!N32</f>
        <v>0</v>
      </c>
      <c r="F34" s="691">
        <v>6.5</v>
      </c>
      <c r="G34" s="692">
        <v>1998</v>
      </c>
      <c r="H34" s="692">
        <v>2017</v>
      </c>
      <c r="I34" s="693">
        <v>0</v>
      </c>
      <c r="J34" s="715"/>
      <c r="K34" s="35"/>
      <c r="L34" s="715">
        <f t="shared" si="0"/>
        <v>0</v>
      </c>
      <c r="M34" s="35"/>
      <c r="N34" s="727">
        <f t="shared" si="1"/>
        <v>0</v>
      </c>
    </row>
    <row r="35" spans="1:14" ht="13.5" hidden="1" thickBot="1">
      <c r="A35" s="654">
        <v>4317937</v>
      </c>
      <c r="B35" s="655" t="s">
        <v>20</v>
      </c>
      <c r="C35" s="655" t="s">
        <v>33</v>
      </c>
      <c r="D35" s="656">
        <v>90110.63</v>
      </c>
      <c r="E35" s="726">
        <f>'2019'!N33</f>
        <v>0</v>
      </c>
      <c r="F35" s="658">
        <v>6.5</v>
      </c>
      <c r="G35" s="659">
        <v>1998</v>
      </c>
      <c r="H35" s="659">
        <v>2017</v>
      </c>
      <c r="I35" s="660">
        <v>0</v>
      </c>
      <c r="J35" s="661"/>
      <c r="K35" s="35">
        <v>3030</v>
      </c>
      <c r="L35" s="661">
        <f t="shared" si="0"/>
        <v>0</v>
      </c>
      <c r="M35" s="35">
        <v>820</v>
      </c>
      <c r="N35" s="664">
        <f t="shared" si="1"/>
        <v>0</v>
      </c>
    </row>
    <row r="36" spans="1:14" ht="13.5" hidden="1" thickBot="1">
      <c r="A36" s="665" t="s">
        <v>34</v>
      </c>
      <c r="B36" s="655" t="s">
        <v>20</v>
      </c>
      <c r="C36" s="655" t="s">
        <v>33</v>
      </c>
      <c r="D36" s="656">
        <v>51645.69</v>
      </c>
      <c r="E36" s="726">
        <f>'2019'!N34</f>
        <v>0</v>
      </c>
      <c r="F36" s="658">
        <v>6.5</v>
      </c>
      <c r="G36" s="659">
        <v>1998</v>
      </c>
      <c r="H36" s="659">
        <v>2017</v>
      </c>
      <c r="I36" s="660">
        <v>0</v>
      </c>
      <c r="J36" s="661"/>
      <c r="K36" s="35"/>
      <c r="L36" s="661">
        <f t="shared" si="0"/>
        <v>0</v>
      </c>
      <c r="M36" s="35"/>
      <c r="N36" s="664">
        <f t="shared" si="1"/>
        <v>0</v>
      </c>
    </row>
    <row r="37" spans="1:14" ht="13.5" hidden="1" thickBot="1">
      <c r="A37" s="674"/>
      <c r="B37" s="675"/>
      <c r="C37" s="675"/>
      <c r="D37" s="676"/>
      <c r="E37" s="682" t="s">
        <v>42</v>
      </c>
      <c r="F37" s="678"/>
      <c r="G37" s="679"/>
      <c r="H37" s="680" t="s">
        <v>43</v>
      </c>
      <c r="I37" s="681">
        <f>SUM(I34:I36)</f>
        <v>0</v>
      </c>
      <c r="J37" s="682">
        <f>SUM(J34:J36)</f>
        <v>0</v>
      </c>
      <c r="K37" s="685"/>
      <c r="L37" s="684">
        <f t="shared" si="0"/>
        <v>0</v>
      </c>
      <c r="M37" s="685"/>
      <c r="N37" s="703">
        <f>SUM(N34:N36)</f>
        <v>0</v>
      </c>
    </row>
    <row r="38" spans="1:14" ht="12.75">
      <c r="A38" s="687">
        <v>4444717</v>
      </c>
      <c r="B38" s="802" t="s">
        <v>181</v>
      </c>
      <c r="C38" s="688" t="s">
        <v>38</v>
      </c>
      <c r="D38" s="689">
        <v>98000</v>
      </c>
      <c r="E38" s="726">
        <f>'2020'!N37</f>
        <v>27552.449999999997</v>
      </c>
      <c r="F38" s="691">
        <v>0.97</v>
      </c>
      <c r="G38" s="692">
        <v>2004</v>
      </c>
      <c r="H38" s="863">
        <v>2024</v>
      </c>
      <c r="I38" s="693">
        <v>6751.84</v>
      </c>
      <c r="J38" s="715">
        <v>6733.87</v>
      </c>
      <c r="K38" s="959">
        <v>3030</v>
      </c>
      <c r="L38" s="715">
        <f t="shared" si="0"/>
        <v>17.970000000000255</v>
      </c>
      <c r="M38" s="959">
        <v>910</v>
      </c>
      <c r="N38" s="903">
        <f t="shared" si="1"/>
        <v>20818.579999999998</v>
      </c>
    </row>
    <row r="39" spans="1:14" ht="12.75">
      <c r="A39" s="654">
        <v>4388738</v>
      </c>
      <c r="B39" s="803" t="s">
        <v>181</v>
      </c>
      <c r="C39" s="655" t="s">
        <v>38</v>
      </c>
      <c r="D39" s="656">
        <v>103291.38</v>
      </c>
      <c r="E39" s="726">
        <f>'2020'!N38</f>
        <v>16041.559999999996</v>
      </c>
      <c r="F39" s="658">
        <v>5.5</v>
      </c>
      <c r="G39" s="659">
        <v>2002</v>
      </c>
      <c r="H39" s="860">
        <v>2022</v>
      </c>
      <c r="I39" s="660">
        <v>8579.7</v>
      </c>
      <c r="J39" s="661">
        <v>8238.31</v>
      </c>
      <c r="K39" s="957"/>
      <c r="L39" s="661">
        <f t="shared" si="0"/>
        <v>341.39000000000124</v>
      </c>
      <c r="M39" s="957"/>
      <c r="N39" s="904">
        <f t="shared" si="1"/>
        <v>7803.249999999996</v>
      </c>
    </row>
    <row r="40" spans="1:14" ht="12.75" customHeight="1" hidden="1">
      <c r="A40" s="654">
        <v>4363583</v>
      </c>
      <c r="B40" s="655" t="s">
        <v>20</v>
      </c>
      <c r="C40" s="655" t="s">
        <v>38</v>
      </c>
      <c r="D40" s="656">
        <v>49982.94</v>
      </c>
      <c r="E40" s="726">
        <f>'2020'!N39</f>
        <v>0</v>
      </c>
      <c r="F40" s="658">
        <v>5.75</v>
      </c>
      <c r="G40" s="659">
        <v>2001</v>
      </c>
      <c r="H40" s="831">
        <v>2020</v>
      </c>
      <c r="I40" s="660"/>
      <c r="J40" s="661"/>
      <c r="K40" s="957"/>
      <c r="L40" s="661">
        <f t="shared" si="0"/>
        <v>0</v>
      </c>
      <c r="M40" s="957"/>
      <c r="N40" s="664">
        <f t="shared" si="1"/>
        <v>0</v>
      </c>
    </row>
    <row r="41" spans="1:14" ht="12.75" customHeight="1" hidden="1">
      <c r="A41" s="699">
        <v>4317938</v>
      </c>
      <c r="B41" s="667" t="s">
        <v>20</v>
      </c>
      <c r="C41" s="667" t="s">
        <v>38</v>
      </c>
      <c r="D41" s="668">
        <v>50396.44</v>
      </c>
      <c r="E41" s="726">
        <f>'2019'!N39</f>
        <v>0</v>
      </c>
      <c r="F41" s="669">
        <v>6.5</v>
      </c>
      <c r="G41" s="670">
        <v>1998</v>
      </c>
      <c r="H41" s="670">
        <v>2017</v>
      </c>
      <c r="I41" s="671"/>
      <c r="J41" s="672"/>
      <c r="K41" s="957"/>
      <c r="L41" s="672">
        <f>I41-J41</f>
        <v>0</v>
      </c>
      <c r="M41" s="957"/>
      <c r="N41" s="728">
        <f>E41-J41</f>
        <v>0</v>
      </c>
    </row>
    <row r="42" spans="1:14" ht="13.5" thickBot="1">
      <c r="A42" s="717" t="s">
        <v>94</v>
      </c>
      <c r="B42" s="655" t="s">
        <v>20</v>
      </c>
      <c r="C42" s="655" t="s">
        <v>85</v>
      </c>
      <c r="D42" s="668">
        <v>130000</v>
      </c>
      <c r="E42" s="726">
        <f>'2020'!N41</f>
        <v>65731.88</v>
      </c>
      <c r="F42" s="669">
        <v>4.39</v>
      </c>
      <c r="G42" s="670">
        <v>2008</v>
      </c>
      <c r="H42" s="670">
        <v>2028</v>
      </c>
      <c r="I42" s="671">
        <v>9832.52</v>
      </c>
      <c r="J42" s="672">
        <v>7023.14</v>
      </c>
      <c r="K42" s="958"/>
      <c r="L42" s="672">
        <f>I42-J42</f>
        <v>2809.38</v>
      </c>
      <c r="M42" s="958"/>
      <c r="N42" s="899">
        <f>E42-J42</f>
        <v>58708.740000000005</v>
      </c>
    </row>
    <row r="43" spans="1:14" ht="13.5" thickBot="1">
      <c r="A43" s="729"/>
      <c r="B43" s="675"/>
      <c r="C43" s="675"/>
      <c r="D43" s="676"/>
      <c r="E43" s="682" t="s">
        <v>42</v>
      </c>
      <c r="F43" s="678"/>
      <c r="G43" s="679"/>
      <c r="H43" s="680" t="s">
        <v>43</v>
      </c>
      <c r="I43" s="681">
        <f>SUM(I38:I42)</f>
        <v>25164.06</v>
      </c>
      <c r="J43" s="682">
        <f>SUM(J38:J42)</f>
        <v>21995.32</v>
      </c>
      <c r="K43" s="685"/>
      <c r="L43" s="682">
        <f t="shared" si="0"/>
        <v>3168.7400000000016</v>
      </c>
      <c r="M43" s="685"/>
      <c r="N43" s="703">
        <f>SUM(N38:N42)</f>
        <v>87330.57</v>
      </c>
    </row>
    <row r="44" spans="1:14" ht="15.75" customHeight="1" thickBot="1">
      <c r="A44" s="717" t="s">
        <v>105</v>
      </c>
      <c r="B44" s="667" t="s">
        <v>20</v>
      </c>
      <c r="C44" s="730" t="s">
        <v>100</v>
      </c>
      <c r="D44" s="668">
        <v>50000</v>
      </c>
      <c r="E44" s="731">
        <f>'2020'!N43</f>
        <v>27794.129999999997</v>
      </c>
      <c r="F44" s="669">
        <v>4.32</v>
      </c>
      <c r="G44" s="670">
        <v>2010</v>
      </c>
      <c r="H44" s="670">
        <v>2029</v>
      </c>
      <c r="I44" s="671">
        <v>3761.52</v>
      </c>
      <c r="J44" s="700">
        <v>2586.28</v>
      </c>
      <c r="K44" s="66">
        <v>3030</v>
      </c>
      <c r="L44" s="701">
        <f>I44-J44</f>
        <v>1175.2399999999998</v>
      </c>
      <c r="M44" s="66">
        <v>930</v>
      </c>
      <c r="N44" s="899">
        <f>E44-J44</f>
        <v>25207.85</v>
      </c>
    </row>
    <row r="45" spans="1:14" ht="13.5" thickBot="1">
      <c r="A45" s="674"/>
      <c r="B45" s="675"/>
      <c r="C45" s="675"/>
      <c r="D45" s="676"/>
      <c r="E45" s="682" t="s">
        <v>42</v>
      </c>
      <c r="F45" s="678"/>
      <c r="G45" s="679"/>
      <c r="H45" s="680" t="s">
        <v>43</v>
      </c>
      <c r="I45" s="732">
        <f>SUM(I44:I44)</f>
        <v>3761.52</v>
      </c>
      <c r="J45" s="677">
        <f>SUM(J44:J44)</f>
        <v>2586.28</v>
      </c>
      <c r="K45" s="685"/>
      <c r="L45" s="684">
        <f t="shared" si="0"/>
        <v>1175.2399999999998</v>
      </c>
      <c r="M45" s="685"/>
      <c r="N45" s="703">
        <f>SUM(N44:N44)</f>
        <v>25207.85</v>
      </c>
    </row>
    <row r="46" spans="1:14" ht="13.5" hidden="1" thickBot="1">
      <c r="A46" s="733"/>
      <c r="B46" s="734"/>
      <c r="C46" s="734"/>
      <c r="D46" s="735"/>
      <c r="E46" s="736"/>
      <c r="F46" s="737"/>
      <c r="G46" s="738"/>
      <c r="H46" s="738"/>
      <c r="I46" s="739"/>
      <c r="J46" s="736"/>
      <c r="K46" s="740"/>
      <c r="L46" s="715">
        <f t="shared" si="0"/>
        <v>0</v>
      </c>
      <c r="M46" s="66"/>
      <c r="N46" s="741">
        <f t="shared" si="1"/>
        <v>0</v>
      </c>
    </row>
    <row r="47" spans="1:14" ht="13.5" hidden="1" thickBot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661">
        <f t="shared" si="0"/>
        <v>0</v>
      </c>
      <c r="M47" s="27"/>
      <c r="N47" s="741">
        <f t="shared" si="1"/>
        <v>0</v>
      </c>
    </row>
    <row r="48" spans="1:14" ht="13.5" hidden="1" thickBot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0"/>
        <v>0</v>
      </c>
      <c r="M48" s="27"/>
      <c r="N48" s="741">
        <f t="shared" si="1"/>
        <v>0</v>
      </c>
    </row>
    <row r="49" spans="1:14" ht="13.5" hidden="1" thickBot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0"/>
        <v>0</v>
      </c>
      <c r="M49" s="27"/>
      <c r="N49" s="741">
        <f t="shared" si="1"/>
        <v>0</v>
      </c>
    </row>
    <row r="50" spans="1:14" ht="13.5" hidden="1" thickBot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0"/>
        <v>0</v>
      </c>
      <c r="M50" s="27"/>
      <c r="N50" s="741">
        <f t="shared" si="1"/>
        <v>0</v>
      </c>
    </row>
    <row r="51" spans="1:14" ht="13.5" hidden="1" thickBot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0"/>
        <v>0</v>
      </c>
      <c r="M51" s="27"/>
      <c r="N51" s="741">
        <f t="shared" si="1"/>
        <v>0</v>
      </c>
    </row>
    <row r="52" spans="1:14" ht="13.5" hidden="1" thickBot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0"/>
        <v>0</v>
      </c>
      <c r="M52" s="27"/>
      <c r="N52" s="741">
        <f t="shared" si="1"/>
        <v>0</v>
      </c>
    </row>
    <row r="53" spans="1:14" ht="13.5" hidden="1" thickBot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0"/>
        <v>0</v>
      </c>
      <c r="M53" s="27"/>
      <c r="N53" s="741">
        <f t="shared" si="1"/>
        <v>0</v>
      </c>
    </row>
    <row r="54" spans="1:14" ht="13.5" hidden="1" thickBot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0"/>
        <v>0</v>
      </c>
      <c r="M54" s="27"/>
      <c r="N54" s="741">
        <f t="shared" si="1"/>
        <v>0</v>
      </c>
    </row>
    <row r="55" spans="1:14" ht="13.5" hidden="1" thickBot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0"/>
        <v>0</v>
      </c>
      <c r="M55" s="27"/>
      <c r="N55" s="741">
        <f t="shared" si="1"/>
        <v>0</v>
      </c>
    </row>
    <row r="56" spans="1:14" ht="13.5" hidden="1" thickBot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0"/>
        <v>0</v>
      </c>
      <c r="M56" s="27"/>
      <c r="N56" s="741">
        <f t="shared" si="1"/>
        <v>0</v>
      </c>
    </row>
    <row r="57" spans="1:14" ht="13.5" hidden="1" thickBot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0"/>
        <v>0</v>
      </c>
      <c r="M57" s="27"/>
      <c r="N57" s="741">
        <f t="shared" si="1"/>
        <v>0</v>
      </c>
    </row>
    <row r="58" spans="1:14" ht="13.5" hidden="1" thickBot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0"/>
        <v>0</v>
      </c>
      <c r="M58" s="27"/>
      <c r="N58" s="741">
        <f t="shared" si="1"/>
        <v>0</v>
      </c>
    </row>
    <row r="59" spans="1:14" ht="13.5" hidden="1" thickBot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0"/>
        <v>0</v>
      </c>
      <c r="M59" s="27"/>
      <c r="N59" s="741">
        <f t="shared" si="1"/>
        <v>0</v>
      </c>
    </row>
    <row r="60" spans="1:14" ht="13.5" hidden="1" thickBot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0"/>
        <v>0</v>
      </c>
      <c r="M60" s="27"/>
      <c r="N60" s="741">
        <f t="shared" si="1"/>
        <v>0</v>
      </c>
    </row>
    <row r="61" spans="1:14" ht="13.5" hidden="1" thickBot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0"/>
        <v>0</v>
      </c>
      <c r="M61" s="27"/>
      <c r="N61" s="741">
        <f t="shared" si="1"/>
        <v>0</v>
      </c>
    </row>
    <row r="62" spans="1:14" ht="13.5" hidden="1" thickBot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0"/>
        <v>0</v>
      </c>
      <c r="M62" s="27"/>
      <c r="N62" s="741">
        <f t="shared" si="1"/>
        <v>0</v>
      </c>
    </row>
    <row r="63" spans="1:14" ht="13.5" hidden="1" thickBot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0"/>
        <v>0</v>
      </c>
      <c r="M63" s="27"/>
      <c r="N63" s="741">
        <f t="shared" si="1"/>
        <v>0</v>
      </c>
    </row>
    <row r="64" spans="1:14" ht="13.5" hidden="1" thickBot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0"/>
        <v>0</v>
      </c>
      <c r="M64" s="27"/>
      <c r="N64" s="741">
        <f t="shared" si="1"/>
        <v>0</v>
      </c>
    </row>
    <row r="65" spans="1:14" ht="13.5" hidden="1" thickBot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0"/>
        <v>0</v>
      </c>
      <c r="M65" s="27"/>
      <c r="N65" s="741">
        <f t="shared" si="1"/>
        <v>0</v>
      </c>
    </row>
    <row r="66" spans="1:14" ht="13.5" hidden="1" thickBot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0"/>
        <v>0</v>
      </c>
      <c r="M66" s="27"/>
      <c r="N66" s="741">
        <f t="shared" si="1"/>
        <v>0</v>
      </c>
    </row>
    <row r="67" spans="1:14" ht="13.5" hidden="1" thickBot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0"/>
        <v>0</v>
      </c>
      <c r="M67" s="27"/>
      <c r="N67" s="741">
        <f t="shared" si="1"/>
        <v>0</v>
      </c>
    </row>
    <row r="68" spans="1:14" ht="13.5" hidden="1" thickBot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 t="shared" si="0"/>
        <v>0</v>
      </c>
      <c r="M68" s="27"/>
      <c r="N68" s="741">
        <f t="shared" si="1"/>
        <v>0</v>
      </c>
    </row>
    <row r="69" spans="1:14" ht="13.5" hidden="1" thickBot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 t="shared" si="0"/>
        <v>0</v>
      </c>
      <c r="M69" s="27"/>
      <c r="N69" s="741">
        <f t="shared" si="1"/>
        <v>0</v>
      </c>
    </row>
    <row r="70" spans="1:14" ht="13.5" hidden="1" thickBot="1">
      <c r="A70" s="733"/>
      <c r="B70" s="734"/>
      <c r="C70" s="734"/>
      <c r="D70" s="735"/>
      <c r="E70" s="736"/>
      <c r="F70" s="737"/>
      <c r="G70" s="738"/>
      <c r="H70" s="738"/>
      <c r="I70" s="739"/>
      <c r="J70" s="736"/>
      <c r="K70" s="740"/>
      <c r="L70" s="661">
        <f t="shared" si="0"/>
        <v>0</v>
      </c>
      <c r="M70" s="27"/>
      <c r="N70" s="741">
        <f t="shared" si="1"/>
        <v>0</v>
      </c>
    </row>
    <row r="71" spans="1:14" ht="13.5" hidden="1" thickBot="1">
      <c r="A71" s="733"/>
      <c r="B71" s="734"/>
      <c r="C71" s="734"/>
      <c r="D71" s="735"/>
      <c r="E71" s="736"/>
      <c r="F71" s="737"/>
      <c r="G71" s="738"/>
      <c r="H71" s="738"/>
      <c r="I71" s="739"/>
      <c r="J71" s="736"/>
      <c r="K71" s="740"/>
      <c r="L71" s="661">
        <f t="shared" si="0"/>
        <v>0</v>
      </c>
      <c r="M71" s="27"/>
      <c r="N71" s="741">
        <f t="shared" si="1"/>
        <v>0</v>
      </c>
    </row>
    <row r="72" spans="1:14" ht="13.5" hidden="1" thickBot="1">
      <c r="A72" s="733"/>
      <c r="B72" s="734"/>
      <c r="C72" s="734"/>
      <c r="D72" s="735"/>
      <c r="E72" s="736"/>
      <c r="F72" s="737"/>
      <c r="G72" s="738"/>
      <c r="H72" s="738"/>
      <c r="I72" s="739"/>
      <c r="J72" s="736"/>
      <c r="K72" s="740"/>
      <c r="L72" s="661">
        <f>I72-J72</f>
        <v>0</v>
      </c>
      <c r="M72" s="27"/>
      <c r="N72" s="741">
        <f>E72-J72</f>
        <v>0</v>
      </c>
    </row>
    <row r="73" spans="1:14" ht="13.5" hidden="1" thickBot="1">
      <c r="A73" s="733"/>
      <c r="B73" s="734"/>
      <c r="C73" s="734"/>
      <c r="D73" s="735"/>
      <c r="E73" s="736"/>
      <c r="F73" s="737"/>
      <c r="G73" s="738"/>
      <c r="H73" s="738"/>
      <c r="I73" s="739"/>
      <c r="J73" s="736"/>
      <c r="K73" s="740"/>
      <c r="L73" s="661">
        <f>I73-J73</f>
        <v>0</v>
      </c>
      <c r="M73" s="27"/>
      <c r="N73" s="741">
        <f>E73-J73</f>
        <v>0</v>
      </c>
    </row>
    <row r="74" spans="1:14" ht="13.5" hidden="1" thickBot="1">
      <c r="A74" s="742"/>
      <c r="B74" s="705"/>
      <c r="C74" s="705"/>
      <c r="D74" s="706"/>
      <c r="E74" s="743"/>
      <c r="F74" s="708"/>
      <c r="G74" s="709"/>
      <c r="H74" s="709"/>
      <c r="I74" s="710"/>
      <c r="J74" s="743"/>
      <c r="K74" s="744"/>
      <c r="L74" s="672">
        <f>I74-J74</f>
        <v>0</v>
      </c>
      <c r="M74" s="27"/>
      <c r="N74" s="713">
        <f>E74-J74</f>
        <v>0</v>
      </c>
    </row>
    <row r="75" spans="1:14" ht="14.25" thickBot="1" thickTop="1">
      <c r="A75" s="745"/>
      <c r="B75" s="746"/>
      <c r="C75" s="747" t="s">
        <v>8</v>
      </c>
      <c r="D75" s="748">
        <f>SUM(D3:D74)</f>
        <v>3607706.9799999995</v>
      </c>
      <c r="E75" s="749">
        <f>SUM(E3:E74)</f>
        <v>1209027.8899999997</v>
      </c>
      <c r="F75" s="135"/>
      <c r="G75" s="135"/>
      <c r="H75" s="135"/>
      <c r="I75" s="750">
        <f>+I12+I19+I21+I33+I37+I43+I45</f>
        <v>167411.37999999998</v>
      </c>
      <c r="J75" s="750">
        <f>+J12+J19+J21+J33+J37+J43+J45</f>
        <v>133358.29</v>
      </c>
      <c r="K75" s="135"/>
      <c r="L75" s="750">
        <f>+L12+L19+L21+L33+L37+L43+L45</f>
        <v>34053.08999999999</v>
      </c>
      <c r="M75" s="135"/>
      <c r="N75" s="751">
        <f>+N12+N19+N21+N33+N37+N43+N45</f>
        <v>1075669.6000000003</v>
      </c>
    </row>
    <row r="76" ht="13.5" thickTop="1"/>
    <row r="77" spans="9:17" s="883" customFormat="1" ht="9.75">
      <c r="I77" s="875">
        <f>I3+I4+I38+I39</f>
        <v>56486.81999999999</v>
      </c>
      <c r="J77" s="875">
        <f>J3+J4+J38+J39</f>
        <v>55571.9</v>
      </c>
      <c r="K77" s="879"/>
      <c r="L77" s="875">
        <f>L3+L4+L38+L39</f>
        <v>914.9200000000028</v>
      </c>
      <c r="M77" s="884" t="s">
        <v>181</v>
      </c>
      <c r="N77" s="875">
        <f>N3+N4+N38+N39</f>
        <v>128191.99000000002</v>
      </c>
      <c r="P77" s="853"/>
      <c r="Q77" s="853"/>
    </row>
    <row r="78" spans="1:17" s="752" customFormat="1" ht="9.75">
      <c r="A78" s="752" t="s">
        <v>42</v>
      </c>
      <c r="I78" s="874">
        <f>I75-I77</f>
        <v>110924.55999999998</v>
      </c>
      <c r="J78" s="874">
        <f>J75-J77</f>
        <v>77786.39000000001</v>
      </c>
      <c r="K78" s="770"/>
      <c r="L78" s="874">
        <f>L75-L77</f>
        <v>33138.169999999984</v>
      </c>
      <c r="M78" s="793" t="s">
        <v>188</v>
      </c>
      <c r="N78" s="874">
        <f>N75-N77</f>
        <v>947477.6100000003</v>
      </c>
      <c r="P78" s="770"/>
      <c r="Q78" s="770"/>
    </row>
    <row r="79" spans="9:14" ht="12.75">
      <c r="I79" s="870"/>
      <c r="J79" s="870"/>
      <c r="K79" s="870"/>
      <c r="L79" s="871"/>
      <c r="N79" s="770"/>
    </row>
    <row r="80" ht="12.75">
      <c r="J80" s="835"/>
    </row>
  </sheetData>
  <sheetProtection/>
  <mergeCells count="9">
    <mergeCell ref="A1:N1"/>
    <mergeCell ref="M3:M11"/>
    <mergeCell ref="M13:M18"/>
    <mergeCell ref="M38:M42"/>
    <mergeCell ref="K3:K11"/>
    <mergeCell ref="K38:K42"/>
    <mergeCell ref="M24:M32"/>
    <mergeCell ref="K13:K18"/>
    <mergeCell ref="K24:K30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10.7109375" style="829" customWidth="1"/>
    <col min="2" max="2" width="11.7109375" style="829" customWidth="1"/>
    <col min="3" max="3" width="53.421875" style="829" customWidth="1"/>
    <col min="4" max="5" width="12.00390625" style="829" customWidth="1"/>
    <col min="6" max="8" width="9.140625" style="829" customWidth="1"/>
    <col min="9" max="9" width="10.7109375" style="829" customWidth="1"/>
    <col min="10" max="10" width="11.8515625" style="829" customWidth="1"/>
    <col min="11" max="11" width="9.140625" style="829" customWidth="1"/>
    <col min="12" max="12" width="10.7109375" style="833" customWidth="1"/>
    <col min="13" max="13" width="9.140625" style="833" customWidth="1"/>
    <col min="14" max="14" width="12.00390625" style="752" customWidth="1"/>
    <col min="15" max="15" width="2.00390625" style="829" customWidth="1"/>
    <col min="16" max="16" width="9.140625" style="770" customWidth="1"/>
    <col min="17" max="17" width="10.00390625" style="770" customWidth="1"/>
    <col min="18" max="16384" width="9.140625" style="829" customWidth="1"/>
  </cols>
  <sheetData>
    <row r="1" spans="1:14" ht="24.75" customHeight="1" thickBot="1">
      <c r="A1" s="954" t="s">
        <v>174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175</v>
      </c>
      <c r="F2" s="138" t="s">
        <v>3</v>
      </c>
      <c r="G2" s="138" t="s">
        <v>4</v>
      </c>
      <c r="H2" s="138" t="s">
        <v>5</v>
      </c>
      <c r="I2" s="138" t="s">
        <v>176</v>
      </c>
      <c r="J2" s="138" t="s">
        <v>177</v>
      </c>
      <c r="K2" s="138" t="s">
        <v>6</v>
      </c>
      <c r="L2" s="138" t="s">
        <v>178</v>
      </c>
      <c r="M2" s="138" t="s">
        <v>6</v>
      </c>
      <c r="N2" s="139" t="s">
        <v>179</v>
      </c>
    </row>
    <row r="3" spans="1:15" ht="12.75">
      <c r="A3" s="665" t="s">
        <v>203</v>
      </c>
      <c r="B3" s="803" t="s">
        <v>181</v>
      </c>
      <c r="C3" s="655" t="s">
        <v>15</v>
      </c>
      <c r="D3" s="656">
        <v>413165</v>
      </c>
      <c r="E3" s="657">
        <f>'2021'!N3</f>
        <v>88056.59000000001</v>
      </c>
      <c r="F3" s="658">
        <v>0.97</v>
      </c>
      <c r="G3" s="659">
        <v>2004</v>
      </c>
      <c r="H3" s="860">
        <v>2024</v>
      </c>
      <c r="I3" s="660">
        <v>28549.8</v>
      </c>
      <c r="J3" s="661">
        <v>28501.39</v>
      </c>
      <c r="K3" s="956">
        <v>3030</v>
      </c>
      <c r="L3" s="661">
        <f>I3-J3</f>
        <v>48.409999999999854</v>
      </c>
      <c r="M3" s="961">
        <v>283</v>
      </c>
      <c r="N3" s="910">
        <f>E3-J3</f>
        <v>59555.20000000001</v>
      </c>
      <c r="O3" s="830"/>
    </row>
    <row r="4" spans="1:14" ht="12.75" customHeight="1">
      <c r="A4" s="654">
        <v>4403430</v>
      </c>
      <c r="B4" s="803" t="s">
        <v>181</v>
      </c>
      <c r="C4" s="655" t="s">
        <v>15</v>
      </c>
      <c r="D4" s="656">
        <v>154937.07</v>
      </c>
      <c r="E4" s="657">
        <f>'2021'!N4</f>
        <v>11513.570000000007</v>
      </c>
      <c r="F4" s="658">
        <v>5.25</v>
      </c>
      <c r="G4" s="659">
        <v>2002.2021</v>
      </c>
      <c r="H4" s="860">
        <v>2022</v>
      </c>
      <c r="I4" s="660">
        <v>11513.57</v>
      </c>
      <c r="J4" s="661">
        <v>11513.57</v>
      </c>
      <c r="K4" s="957"/>
      <c r="L4" s="661">
        <f aca="true" t="shared" si="0" ref="L4:L71">I4-J4</f>
        <v>0</v>
      </c>
      <c r="M4" s="962"/>
      <c r="N4" s="664">
        <f aca="true" t="shared" si="1" ref="N4:N71">E4-J4</f>
        <v>0</v>
      </c>
    </row>
    <row r="5" spans="1:14" ht="12" customHeight="1" hidden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'2020'!N5</f>
        <v>0</v>
      </c>
      <c r="F5" s="658">
        <v>5.75</v>
      </c>
      <c r="G5" s="659">
        <v>2001</v>
      </c>
      <c r="H5" s="659">
        <v>2020</v>
      </c>
      <c r="I5" s="660"/>
      <c r="J5" s="661"/>
      <c r="K5" s="957"/>
      <c r="L5" s="661">
        <f t="shared" si="0"/>
        <v>0</v>
      </c>
      <c r="M5" s="962"/>
      <c r="N5" s="664">
        <f t="shared" si="1"/>
        <v>0</v>
      </c>
    </row>
    <row r="6" spans="1:14" ht="12.75" customHeight="1" hidden="1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'2020'!N6</f>
        <v>0</v>
      </c>
      <c r="F6" s="658">
        <v>5.75</v>
      </c>
      <c r="G6" s="659">
        <v>2001</v>
      </c>
      <c r="H6" s="659">
        <v>2020</v>
      </c>
      <c r="I6" s="660"/>
      <c r="J6" s="661"/>
      <c r="K6" s="957"/>
      <c r="L6" s="661">
        <f t="shared" si="0"/>
        <v>0</v>
      </c>
      <c r="M6" s="962"/>
      <c r="N6" s="664">
        <f t="shared" si="1"/>
        <v>0</v>
      </c>
    </row>
    <row r="7" spans="1:14" ht="12.75" customHeight="1" hidden="1">
      <c r="A7" s="654">
        <v>4354048</v>
      </c>
      <c r="B7" s="655" t="s">
        <v>7</v>
      </c>
      <c r="C7" s="655" t="s">
        <v>15</v>
      </c>
      <c r="D7" s="656">
        <v>179245.09</v>
      </c>
      <c r="E7" s="657">
        <f>'2019'!N7</f>
        <v>0</v>
      </c>
      <c r="F7" s="658">
        <v>0</v>
      </c>
      <c r="G7" s="659">
        <v>2000</v>
      </c>
      <c r="H7" s="659">
        <v>2019</v>
      </c>
      <c r="I7" s="660"/>
      <c r="J7" s="661"/>
      <c r="K7" s="957"/>
      <c r="L7" s="661">
        <f t="shared" si="0"/>
        <v>0</v>
      </c>
      <c r="M7" s="962"/>
      <c r="N7" s="664">
        <f t="shared" si="1"/>
        <v>0</v>
      </c>
    </row>
    <row r="8" spans="1:14" ht="12.75" customHeight="1" hidden="1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'2019'!N8</f>
        <v>0</v>
      </c>
      <c r="F8" s="658">
        <v>6.5</v>
      </c>
      <c r="G8" s="659">
        <v>1998</v>
      </c>
      <c r="H8" s="659">
        <v>2017</v>
      </c>
      <c r="I8" s="660"/>
      <c r="J8" s="661"/>
      <c r="K8" s="957"/>
      <c r="L8" s="661">
        <f t="shared" si="0"/>
        <v>0</v>
      </c>
      <c r="M8" s="962"/>
      <c r="N8" s="664">
        <f t="shared" si="1"/>
        <v>0</v>
      </c>
    </row>
    <row r="9" spans="1:14" ht="12.75" customHeight="1" hidden="1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'2019'!N9</f>
        <v>0</v>
      </c>
      <c r="F9" s="658">
        <v>6.5</v>
      </c>
      <c r="G9" s="659">
        <v>1998</v>
      </c>
      <c r="H9" s="659">
        <v>2017</v>
      </c>
      <c r="I9" s="660"/>
      <c r="J9" s="661"/>
      <c r="K9" s="957"/>
      <c r="L9" s="661">
        <f>I9-J9</f>
        <v>0</v>
      </c>
      <c r="M9" s="962"/>
      <c r="N9" s="664">
        <f>E9-J9</f>
        <v>0</v>
      </c>
    </row>
    <row r="10" spans="1:14" ht="12.75">
      <c r="A10" s="717" t="s">
        <v>77</v>
      </c>
      <c r="B10" s="667" t="s">
        <v>7</v>
      </c>
      <c r="C10" s="667" t="s">
        <v>72</v>
      </c>
      <c r="D10" s="668">
        <v>80000</v>
      </c>
      <c r="E10" s="657">
        <f>'2021'!N10</f>
        <v>21055.46</v>
      </c>
      <c r="F10" s="669">
        <v>3.72</v>
      </c>
      <c r="G10" s="670">
        <v>2006</v>
      </c>
      <c r="H10" s="670">
        <v>2025</v>
      </c>
      <c r="I10" s="671">
        <v>5716.4</v>
      </c>
      <c r="J10" s="672">
        <v>4975.01</v>
      </c>
      <c r="K10" s="957"/>
      <c r="L10" s="672">
        <f>I10-J10</f>
        <v>741.3899999999994</v>
      </c>
      <c r="M10" s="962"/>
      <c r="N10" s="664">
        <f>E10-J10</f>
        <v>16080.449999999999</v>
      </c>
    </row>
    <row r="11" spans="1:14" ht="13.5" thickBot="1">
      <c r="A11" s="665" t="s">
        <v>102</v>
      </c>
      <c r="B11" s="655" t="s">
        <v>20</v>
      </c>
      <c r="C11" s="655" t="s">
        <v>92</v>
      </c>
      <c r="D11" s="656">
        <v>60000</v>
      </c>
      <c r="E11" s="657">
        <f>'2021'!N11</f>
        <v>30720.549999999996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3250.26</v>
      </c>
      <c r="K11" s="958"/>
      <c r="L11" s="672">
        <f>I11-J11</f>
        <v>1393.8400000000001</v>
      </c>
      <c r="M11" s="963"/>
      <c r="N11" s="664">
        <f>E11-J11</f>
        <v>27470.289999999994</v>
      </c>
    </row>
    <row r="12" spans="1:14" ht="13.5" thickBot="1">
      <c r="A12" s="674"/>
      <c r="B12" s="675"/>
      <c r="C12" s="675"/>
      <c r="D12" s="676"/>
      <c r="E12" s="682" t="s">
        <v>42</v>
      </c>
      <c r="F12" s="678"/>
      <c r="G12" s="679"/>
      <c r="H12" s="680" t="s">
        <v>43</v>
      </c>
      <c r="I12" s="681">
        <f>SUM(I3:I11)</f>
        <v>50423.869999999995</v>
      </c>
      <c r="J12" s="682">
        <f>SUM(J3:J11)</f>
        <v>48240.23</v>
      </c>
      <c r="K12" s="683"/>
      <c r="L12" s="684">
        <f t="shared" si="0"/>
        <v>2183.639999999992</v>
      </c>
      <c r="M12" s="685"/>
      <c r="N12" s="686">
        <f>SUM(N3:N11)</f>
        <v>103105.94</v>
      </c>
    </row>
    <row r="13" spans="1:14" ht="12.75" hidden="1">
      <c r="A13" s="687">
        <v>4367661</v>
      </c>
      <c r="B13" s="688" t="s">
        <v>20</v>
      </c>
      <c r="C13" s="688" t="s">
        <v>21</v>
      </c>
      <c r="D13" s="689">
        <v>51645.69</v>
      </c>
      <c r="E13" s="726">
        <f>'2020'!N13</f>
        <v>0</v>
      </c>
      <c r="F13" s="691">
        <v>5.75</v>
      </c>
      <c r="G13" s="692">
        <v>2001</v>
      </c>
      <c r="H13" s="832">
        <v>2020</v>
      </c>
      <c r="I13" s="693"/>
      <c r="J13" s="694"/>
      <c r="K13" s="959">
        <v>3030</v>
      </c>
      <c r="L13" s="695">
        <f t="shared" si="0"/>
        <v>0</v>
      </c>
      <c r="M13" s="959">
        <v>518</v>
      </c>
      <c r="N13" s="696">
        <f t="shared" si="1"/>
        <v>0</v>
      </c>
    </row>
    <row r="14" spans="1:14" ht="12.75" hidden="1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'2020'!N14</f>
        <v>0</v>
      </c>
      <c r="F14" s="658">
        <v>5.75</v>
      </c>
      <c r="G14" s="659">
        <v>2001</v>
      </c>
      <c r="H14" s="831">
        <v>2020</v>
      </c>
      <c r="I14" s="660"/>
      <c r="J14" s="697"/>
      <c r="K14" s="957"/>
      <c r="L14" s="698">
        <f t="shared" si="0"/>
        <v>0</v>
      </c>
      <c r="M14" s="957"/>
      <c r="N14" s="664">
        <f t="shared" si="1"/>
        <v>0</v>
      </c>
    </row>
    <row r="15" spans="1:14" ht="12.75" customHeight="1" hidden="1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'2019'!N15</f>
        <v>0</v>
      </c>
      <c r="F15" s="658">
        <v>4.85</v>
      </c>
      <c r="G15" s="659">
        <v>1999</v>
      </c>
      <c r="H15" s="659">
        <v>2018</v>
      </c>
      <c r="I15" s="660"/>
      <c r="J15" s="697"/>
      <c r="K15" s="957"/>
      <c r="L15" s="698">
        <f t="shared" si="0"/>
        <v>0</v>
      </c>
      <c r="M15" s="957"/>
      <c r="N15" s="664">
        <f t="shared" si="1"/>
        <v>0</v>
      </c>
    </row>
    <row r="16" spans="1:14" ht="12.75">
      <c r="A16" s="717" t="s">
        <v>197</v>
      </c>
      <c r="B16" s="667" t="s">
        <v>20</v>
      </c>
      <c r="C16" s="667" t="s">
        <v>164</v>
      </c>
      <c r="D16" s="668">
        <v>127500</v>
      </c>
      <c r="E16" s="690">
        <f>'2021'!N16</f>
        <v>83513.15000000001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6153.5</v>
      </c>
      <c r="K16" s="957"/>
      <c r="L16" s="701">
        <f>I16-J16</f>
        <v>5342.26</v>
      </c>
      <c r="M16" s="957"/>
      <c r="N16" s="664">
        <f>E16-J16</f>
        <v>77359.65000000001</v>
      </c>
    </row>
    <row r="17" spans="1:14" ht="12.75">
      <c r="A17" s="717" t="s">
        <v>196</v>
      </c>
      <c r="B17" s="667" t="s">
        <v>20</v>
      </c>
      <c r="C17" s="667" t="s">
        <v>195</v>
      </c>
      <c r="D17" s="668">
        <v>200000</v>
      </c>
      <c r="E17" s="690">
        <f>'2021'!N17</f>
        <v>190954.63</v>
      </c>
      <c r="F17" s="669">
        <v>1.04</v>
      </c>
      <c r="G17" s="670">
        <v>2021</v>
      </c>
      <c r="H17" s="670">
        <v>2040</v>
      </c>
      <c r="I17" s="671">
        <v>11101.92</v>
      </c>
      <c r="J17" s="700">
        <v>9139.68</v>
      </c>
      <c r="K17" s="957"/>
      <c r="L17" s="701">
        <f>I17-J17</f>
        <v>1962.2399999999998</v>
      </c>
      <c r="M17" s="957"/>
      <c r="N17" s="664">
        <f>E17-J17</f>
        <v>181814.95</v>
      </c>
    </row>
    <row r="18" spans="1:14" ht="13.5" thickBot="1">
      <c r="A18" s="855" t="str">
        <f>'2021'!A18</f>
        <v>NUOVO</v>
      </c>
      <c r="B18" s="667" t="s">
        <v>20</v>
      </c>
      <c r="C18" s="667" t="s">
        <v>195</v>
      </c>
      <c r="D18" s="668"/>
      <c r="E18" s="690"/>
      <c r="F18" s="669">
        <v>1.5</v>
      </c>
      <c r="G18" s="670">
        <v>2023</v>
      </c>
      <c r="H18" s="670">
        <v>2042</v>
      </c>
      <c r="I18" s="671">
        <v>0</v>
      </c>
      <c r="J18" s="700">
        <v>0</v>
      </c>
      <c r="K18" s="958"/>
      <c r="L18" s="701">
        <f>I18-J18</f>
        <v>0</v>
      </c>
      <c r="M18" s="958"/>
      <c r="N18" s="664">
        <f>E18-J18</f>
        <v>0</v>
      </c>
    </row>
    <row r="19" spans="1:14" ht="13.5" thickBot="1">
      <c r="A19" s="674"/>
      <c r="B19" s="675"/>
      <c r="C19" s="675"/>
      <c r="D19" s="676"/>
      <c r="E19" s="702" t="s">
        <v>42</v>
      </c>
      <c r="F19" s="678"/>
      <c r="G19" s="679"/>
      <c r="H19" s="680" t="s">
        <v>43</v>
      </c>
      <c r="I19" s="681">
        <f>SUM(I13:I18)</f>
        <v>22597.68</v>
      </c>
      <c r="J19" s="681">
        <f>SUM(J13:J18)</f>
        <v>15293.18</v>
      </c>
      <c r="K19" s="683"/>
      <c r="L19" s="684">
        <f t="shared" si="0"/>
        <v>7304.5</v>
      </c>
      <c r="M19" s="685"/>
      <c r="N19" s="703">
        <f>SUM(N13:N18)</f>
        <v>259174.60000000003</v>
      </c>
    </row>
    <row r="20" spans="1:14" ht="13.5" thickBot="1">
      <c r="A20" s="704" t="s">
        <v>199</v>
      </c>
      <c r="B20" s="705" t="s">
        <v>20</v>
      </c>
      <c r="C20" s="705" t="s">
        <v>93</v>
      </c>
      <c r="D20" s="706">
        <v>114950</v>
      </c>
      <c r="E20" s="707">
        <f>'2021'!N20</f>
        <v>71224.29</v>
      </c>
      <c r="F20" s="708">
        <v>4.93</v>
      </c>
      <c r="G20" s="709">
        <v>2012</v>
      </c>
      <c r="H20" s="709">
        <v>2031</v>
      </c>
      <c r="I20" s="710">
        <v>9111.38</v>
      </c>
      <c r="J20" s="711">
        <v>5662.67</v>
      </c>
      <c r="K20" s="35">
        <v>3030</v>
      </c>
      <c r="L20" s="712">
        <f>I20-J20</f>
        <v>3448.709999999999</v>
      </c>
      <c r="M20" s="66">
        <v>645</v>
      </c>
      <c r="N20" s="713">
        <f>E20-J20</f>
        <v>65561.62</v>
      </c>
    </row>
    <row r="21" spans="1:14" ht="13.5" thickBot="1">
      <c r="A21" s="674"/>
      <c r="B21" s="675"/>
      <c r="C21" s="675"/>
      <c r="D21" s="676"/>
      <c r="E21" s="682" t="s">
        <v>42</v>
      </c>
      <c r="F21" s="678"/>
      <c r="G21" s="680"/>
      <c r="H21" s="680" t="s">
        <v>43</v>
      </c>
      <c r="I21" s="681">
        <f>SUM(I20:I20)</f>
        <v>9111.38</v>
      </c>
      <c r="J21" s="682">
        <f>SUM(J20:J20)</f>
        <v>5662.67</v>
      </c>
      <c r="K21" s="685"/>
      <c r="L21" s="684">
        <f t="shared" si="0"/>
        <v>3448.709999999999</v>
      </c>
      <c r="M21" s="685"/>
      <c r="N21" s="703">
        <f>SUM(N20:N20)</f>
        <v>65561.62</v>
      </c>
    </row>
    <row r="22" spans="1:14" ht="12.75" hidden="1">
      <c r="A22" s="714" t="s">
        <v>28</v>
      </c>
      <c r="B22" s="688" t="s">
        <v>20</v>
      </c>
      <c r="C22" s="688" t="s">
        <v>29</v>
      </c>
      <c r="D22" s="689">
        <v>17559.53</v>
      </c>
      <c r="E22" s="726">
        <f>'2020'!N21</f>
        <v>0</v>
      </c>
      <c r="F22" s="691">
        <v>5.75</v>
      </c>
      <c r="G22" s="692">
        <v>2001</v>
      </c>
      <c r="H22" s="832">
        <v>2020</v>
      </c>
      <c r="I22" s="693"/>
      <c r="J22" s="715"/>
      <c r="K22" s="35"/>
      <c r="L22" s="715">
        <f t="shared" si="0"/>
        <v>0</v>
      </c>
      <c r="M22" s="35"/>
      <c r="N22" s="716">
        <f t="shared" si="1"/>
        <v>0</v>
      </c>
    </row>
    <row r="23" spans="1:14" ht="12.75" hidden="1">
      <c r="A23" s="654">
        <v>4364549</v>
      </c>
      <c r="B23" s="655" t="s">
        <v>20</v>
      </c>
      <c r="C23" s="655" t="s">
        <v>29</v>
      </c>
      <c r="D23" s="656">
        <v>137377.54</v>
      </c>
      <c r="E23" s="690">
        <f>'2020'!N22</f>
        <v>0</v>
      </c>
      <c r="F23" s="658">
        <v>5.75</v>
      </c>
      <c r="G23" s="659">
        <v>2001</v>
      </c>
      <c r="H23" s="831">
        <v>2020</v>
      </c>
      <c r="I23" s="660"/>
      <c r="J23" s="661"/>
      <c r="K23" s="35"/>
      <c r="L23" s="661">
        <f t="shared" si="0"/>
        <v>0</v>
      </c>
      <c r="M23" s="35"/>
      <c r="N23" s="664">
        <f t="shared" si="1"/>
        <v>0</v>
      </c>
    </row>
    <row r="24" spans="1:14" ht="13.5" customHeight="1">
      <c r="A24" s="717" t="s">
        <v>201</v>
      </c>
      <c r="B24" s="655" t="s">
        <v>20</v>
      </c>
      <c r="C24" s="655" t="s">
        <v>29</v>
      </c>
      <c r="D24" s="668">
        <v>160000</v>
      </c>
      <c r="E24" s="690">
        <f>'2021'!N24</f>
        <v>41154.49</v>
      </c>
      <c r="F24" s="669">
        <v>3.4</v>
      </c>
      <c r="G24" s="670">
        <v>2006</v>
      </c>
      <c r="H24" s="670">
        <v>2025</v>
      </c>
      <c r="I24" s="671">
        <v>11091.2</v>
      </c>
      <c r="J24" s="672">
        <v>9774.32</v>
      </c>
      <c r="K24" s="957">
        <v>3030</v>
      </c>
      <c r="L24" s="672">
        <f t="shared" si="0"/>
        <v>1316.880000000001</v>
      </c>
      <c r="M24" s="957">
        <v>760</v>
      </c>
      <c r="N24" s="664">
        <f t="shared" si="1"/>
        <v>31380.17</v>
      </c>
    </row>
    <row r="25" spans="1:14" ht="12.75">
      <c r="A25" s="717" t="s">
        <v>200</v>
      </c>
      <c r="B25" s="655" t="s">
        <v>20</v>
      </c>
      <c r="C25" s="655" t="s">
        <v>29</v>
      </c>
      <c r="D25" s="668">
        <v>53000</v>
      </c>
      <c r="E25" s="690">
        <f>'2021'!N25</f>
        <v>13632.419999999998</v>
      </c>
      <c r="F25" s="669">
        <v>3.4</v>
      </c>
      <c r="G25" s="670">
        <v>2006</v>
      </c>
      <c r="H25" s="670">
        <v>2026</v>
      </c>
      <c r="I25" s="671">
        <v>3673.96</v>
      </c>
      <c r="J25" s="672">
        <v>3237.75</v>
      </c>
      <c r="K25" s="957"/>
      <c r="L25" s="672">
        <f t="shared" si="0"/>
        <v>436.21000000000004</v>
      </c>
      <c r="M25" s="957"/>
      <c r="N25" s="664">
        <f t="shared" si="1"/>
        <v>10394.669999999998</v>
      </c>
    </row>
    <row r="26" spans="1:14" ht="12.75">
      <c r="A26" s="717" t="s">
        <v>76</v>
      </c>
      <c r="B26" s="655" t="s">
        <v>20</v>
      </c>
      <c r="C26" s="655" t="s">
        <v>73</v>
      </c>
      <c r="D26" s="668">
        <v>100000</v>
      </c>
      <c r="E26" s="690">
        <f>'2021'!N26</f>
        <v>26284.059999999998</v>
      </c>
      <c r="F26" s="669">
        <v>3.72</v>
      </c>
      <c r="G26" s="670">
        <v>2006</v>
      </c>
      <c r="H26" s="670">
        <v>2025</v>
      </c>
      <c r="I26" s="671">
        <v>7132.84</v>
      </c>
      <c r="J26" s="672">
        <v>6212.31</v>
      </c>
      <c r="K26" s="957"/>
      <c r="L26" s="672">
        <f t="shared" si="0"/>
        <v>920.5299999999997</v>
      </c>
      <c r="M26" s="957"/>
      <c r="N26" s="664">
        <f t="shared" si="1"/>
        <v>20071.749999999996</v>
      </c>
    </row>
    <row r="27" spans="1:14" ht="12.75">
      <c r="A27" s="717" t="s">
        <v>104</v>
      </c>
      <c r="B27" s="655" t="s">
        <v>20</v>
      </c>
      <c r="C27" s="655" t="s">
        <v>78</v>
      </c>
      <c r="D27" s="668">
        <v>120000</v>
      </c>
      <c r="E27" s="690">
        <f>'2021'!N27</f>
        <v>60498.78000000001</v>
      </c>
      <c r="F27" s="669">
        <v>4.32</v>
      </c>
      <c r="G27" s="670">
        <v>2010</v>
      </c>
      <c r="H27" s="670">
        <v>2029</v>
      </c>
      <c r="I27" s="671">
        <v>9027.68</v>
      </c>
      <c r="J27" s="672">
        <v>6478.63</v>
      </c>
      <c r="K27" s="957"/>
      <c r="L27" s="672">
        <f t="shared" si="0"/>
        <v>2549.05</v>
      </c>
      <c r="M27" s="957"/>
      <c r="N27" s="664">
        <f t="shared" si="1"/>
        <v>54020.150000000016</v>
      </c>
    </row>
    <row r="28" spans="1:14" ht="12.75">
      <c r="A28" s="717" t="s">
        <v>103</v>
      </c>
      <c r="B28" s="667" t="s">
        <v>20</v>
      </c>
      <c r="C28" s="719" t="s">
        <v>107</v>
      </c>
      <c r="D28" s="668">
        <v>90000</v>
      </c>
      <c r="E28" s="690">
        <f>'2021'!N28</f>
        <v>45331.28</v>
      </c>
      <c r="F28" s="669">
        <v>4.3</v>
      </c>
      <c r="G28" s="670">
        <v>2010</v>
      </c>
      <c r="H28" s="670">
        <v>2029</v>
      </c>
      <c r="I28" s="671">
        <v>6759.04</v>
      </c>
      <c r="J28" s="700">
        <v>4857.94</v>
      </c>
      <c r="K28" s="957"/>
      <c r="L28" s="701">
        <f t="shared" si="0"/>
        <v>1901.1000000000004</v>
      </c>
      <c r="M28" s="957"/>
      <c r="N28" s="664">
        <f t="shared" si="1"/>
        <v>40473.34</v>
      </c>
    </row>
    <row r="29" spans="1:14" ht="12.75">
      <c r="A29" s="717" t="s">
        <v>117</v>
      </c>
      <c r="B29" s="667" t="s">
        <v>20</v>
      </c>
      <c r="C29" s="719" t="s">
        <v>108</v>
      </c>
      <c r="D29" s="668">
        <v>152925</v>
      </c>
      <c r="E29" s="690">
        <f>'2021'!N29</f>
        <v>84931.71999999999</v>
      </c>
      <c r="F29" s="669">
        <v>4.43</v>
      </c>
      <c r="G29" s="670">
        <v>2011</v>
      </c>
      <c r="H29" s="670">
        <v>2029</v>
      </c>
      <c r="I29" s="671">
        <v>11483.74</v>
      </c>
      <c r="J29" s="700">
        <v>7910</v>
      </c>
      <c r="K29" s="957"/>
      <c r="L29" s="701">
        <f t="shared" si="0"/>
        <v>3573.74</v>
      </c>
      <c r="M29" s="957"/>
      <c r="N29" s="720">
        <f t="shared" si="1"/>
        <v>77021.71999999999</v>
      </c>
    </row>
    <row r="30" spans="1:14" ht="17.25" customHeight="1" thickBot="1">
      <c r="A30" s="717" t="s">
        <v>198</v>
      </c>
      <c r="B30" s="667" t="s">
        <v>20</v>
      </c>
      <c r="C30" s="730" t="s">
        <v>109</v>
      </c>
      <c r="D30" s="668">
        <v>140000</v>
      </c>
      <c r="E30" s="690">
        <f>'2021'!N30</f>
        <v>44260.19</v>
      </c>
      <c r="F30" s="669">
        <v>6.51</v>
      </c>
      <c r="G30" s="670">
        <v>2012</v>
      </c>
      <c r="H30" s="670">
        <v>2031</v>
      </c>
      <c r="I30" s="671">
        <v>6092.5</v>
      </c>
      <c r="J30" s="700">
        <v>3261.23</v>
      </c>
      <c r="K30" s="957"/>
      <c r="L30" s="701">
        <f t="shared" si="0"/>
        <v>2831.27</v>
      </c>
      <c r="M30" s="957"/>
      <c r="N30" s="776">
        <f t="shared" si="1"/>
        <v>40998.96</v>
      </c>
    </row>
    <row r="31" spans="1:14" ht="24" customHeight="1" hidden="1">
      <c r="A31" s="836" t="s">
        <v>74</v>
      </c>
      <c r="B31" s="667" t="s">
        <v>20</v>
      </c>
      <c r="C31" s="730" t="s">
        <v>180</v>
      </c>
      <c r="D31" s="837"/>
      <c r="E31" s="690">
        <f>'2021'!N31</f>
        <v>0</v>
      </c>
      <c r="F31" s="669">
        <v>2.86</v>
      </c>
      <c r="G31" s="838">
        <v>2020</v>
      </c>
      <c r="H31" s="670">
        <v>2039</v>
      </c>
      <c r="I31" s="671"/>
      <c r="J31" s="700"/>
      <c r="K31" s="66"/>
      <c r="L31" s="701">
        <f t="shared" si="0"/>
        <v>0</v>
      </c>
      <c r="M31" s="957"/>
      <c r="N31" s="776">
        <f t="shared" si="1"/>
        <v>0</v>
      </c>
    </row>
    <row r="32" spans="1:17" s="810" customFormat="1" ht="13.5" hidden="1" thickBot="1">
      <c r="A32" s="843"/>
      <c r="B32" s="844"/>
      <c r="C32" s="844"/>
      <c r="D32" s="845"/>
      <c r="E32" s="854"/>
      <c r="F32" s="847"/>
      <c r="G32" s="842"/>
      <c r="H32" s="848"/>
      <c r="I32" s="849"/>
      <c r="J32" s="850"/>
      <c r="K32" s="851"/>
      <c r="L32" s="850">
        <f>I32-J32</f>
        <v>0</v>
      </c>
      <c r="M32" s="958"/>
      <c r="N32" s="852">
        <f>E32-J32</f>
        <v>0</v>
      </c>
      <c r="P32" s="853"/>
      <c r="Q32" s="853"/>
    </row>
    <row r="33" spans="1:14" ht="13.5" thickBot="1">
      <c r="A33" s="674"/>
      <c r="B33" s="675"/>
      <c r="C33" s="675"/>
      <c r="D33" s="676"/>
      <c r="E33" s="725" t="s">
        <v>42</v>
      </c>
      <c r="F33" s="678"/>
      <c r="G33" s="679"/>
      <c r="H33" s="680" t="s">
        <v>43</v>
      </c>
      <c r="I33" s="681">
        <f>SUM(I22:I32)</f>
        <v>55260.96</v>
      </c>
      <c r="J33" s="682">
        <f>SUM(J22:J32)</f>
        <v>41732.18</v>
      </c>
      <c r="K33" s="685"/>
      <c r="L33" s="684">
        <f t="shared" si="0"/>
        <v>13528.779999999999</v>
      </c>
      <c r="M33" s="685"/>
      <c r="N33" s="703">
        <f>SUM(N22:N32)</f>
        <v>274360.76</v>
      </c>
    </row>
    <row r="34" spans="1:14" ht="13.5" hidden="1" thickBot="1">
      <c r="A34" s="714" t="s">
        <v>32</v>
      </c>
      <c r="B34" s="688" t="s">
        <v>20</v>
      </c>
      <c r="C34" s="688" t="s">
        <v>33</v>
      </c>
      <c r="D34" s="689">
        <v>13180.75</v>
      </c>
      <c r="E34" s="726">
        <f>'2019'!N32</f>
        <v>0</v>
      </c>
      <c r="F34" s="691">
        <v>6.5</v>
      </c>
      <c r="G34" s="692">
        <v>1998</v>
      </c>
      <c r="H34" s="692">
        <v>2017</v>
      </c>
      <c r="I34" s="693">
        <v>0</v>
      </c>
      <c r="J34" s="715"/>
      <c r="K34" s="35"/>
      <c r="L34" s="715">
        <f t="shared" si="0"/>
        <v>0</v>
      </c>
      <c r="M34" s="35"/>
      <c r="N34" s="727">
        <f t="shared" si="1"/>
        <v>0</v>
      </c>
    </row>
    <row r="35" spans="1:14" ht="13.5" hidden="1" thickBot="1">
      <c r="A35" s="654">
        <v>4317937</v>
      </c>
      <c r="B35" s="655" t="s">
        <v>20</v>
      </c>
      <c r="C35" s="655" t="s">
        <v>33</v>
      </c>
      <c r="D35" s="656">
        <v>90110.63</v>
      </c>
      <c r="E35" s="726">
        <f>'2019'!N33</f>
        <v>0</v>
      </c>
      <c r="F35" s="658">
        <v>6.5</v>
      </c>
      <c r="G35" s="659">
        <v>1998</v>
      </c>
      <c r="H35" s="659">
        <v>2017</v>
      </c>
      <c r="I35" s="660">
        <v>0</v>
      </c>
      <c r="J35" s="661"/>
      <c r="K35" s="35">
        <v>3030</v>
      </c>
      <c r="L35" s="661">
        <f t="shared" si="0"/>
        <v>0</v>
      </c>
      <c r="M35" s="35">
        <v>820</v>
      </c>
      <c r="N35" s="664">
        <f t="shared" si="1"/>
        <v>0</v>
      </c>
    </row>
    <row r="36" spans="1:14" ht="13.5" hidden="1" thickBot="1">
      <c r="A36" s="665" t="s">
        <v>34</v>
      </c>
      <c r="B36" s="655" t="s">
        <v>20</v>
      </c>
      <c r="C36" s="655" t="s">
        <v>33</v>
      </c>
      <c r="D36" s="656">
        <v>51645.69</v>
      </c>
      <c r="E36" s="726">
        <f>'2019'!N34</f>
        <v>0</v>
      </c>
      <c r="F36" s="658">
        <v>6.5</v>
      </c>
      <c r="G36" s="659">
        <v>1998</v>
      </c>
      <c r="H36" s="659">
        <v>2017</v>
      </c>
      <c r="I36" s="660">
        <v>0</v>
      </c>
      <c r="J36" s="661"/>
      <c r="K36" s="35"/>
      <c r="L36" s="661">
        <f t="shared" si="0"/>
        <v>0</v>
      </c>
      <c r="M36" s="35"/>
      <c r="N36" s="664">
        <f t="shared" si="1"/>
        <v>0</v>
      </c>
    </row>
    <row r="37" spans="1:14" ht="13.5" hidden="1" thickBot="1">
      <c r="A37" s="674"/>
      <c r="B37" s="675"/>
      <c r="C37" s="675"/>
      <c r="D37" s="676"/>
      <c r="E37" s="682" t="s">
        <v>42</v>
      </c>
      <c r="F37" s="678"/>
      <c r="G37" s="679"/>
      <c r="H37" s="680" t="s">
        <v>43</v>
      </c>
      <c r="I37" s="681">
        <f>SUM(I34:I36)</f>
        <v>0</v>
      </c>
      <c r="J37" s="682">
        <f>SUM(J34:J36)</f>
        <v>0</v>
      </c>
      <c r="K37" s="685"/>
      <c r="L37" s="684">
        <f t="shared" si="0"/>
        <v>0</v>
      </c>
      <c r="M37" s="685"/>
      <c r="N37" s="703">
        <f>SUM(N34:N36)</f>
        <v>0</v>
      </c>
    </row>
    <row r="38" spans="1:14" ht="12.75">
      <c r="A38" s="714" t="s">
        <v>202</v>
      </c>
      <c r="B38" s="802" t="s">
        <v>181</v>
      </c>
      <c r="C38" s="688" t="s">
        <v>38</v>
      </c>
      <c r="D38" s="689">
        <v>98000</v>
      </c>
      <c r="E38" s="726">
        <f>'2021'!N38</f>
        <v>20818.579999999998</v>
      </c>
      <c r="F38" s="691">
        <v>0.97</v>
      </c>
      <c r="G38" s="692">
        <v>2004</v>
      </c>
      <c r="H38" s="863">
        <v>2024</v>
      </c>
      <c r="I38" s="693">
        <v>6751.84</v>
      </c>
      <c r="J38" s="715">
        <v>6740.4</v>
      </c>
      <c r="K38" s="959">
        <v>3030</v>
      </c>
      <c r="L38" s="661">
        <f t="shared" si="0"/>
        <v>11.44000000000051</v>
      </c>
      <c r="M38" s="959">
        <v>910</v>
      </c>
      <c r="N38" s="909">
        <f t="shared" si="1"/>
        <v>14078.179999999998</v>
      </c>
    </row>
    <row r="39" spans="1:14" ht="12.75" customHeight="1">
      <c r="A39" s="654">
        <v>4388738</v>
      </c>
      <c r="B39" s="803" t="s">
        <v>181</v>
      </c>
      <c r="C39" s="655" t="s">
        <v>38</v>
      </c>
      <c r="D39" s="656">
        <v>103291.38</v>
      </c>
      <c r="E39" s="726">
        <f>'2021'!N39</f>
        <v>7803.249999999996</v>
      </c>
      <c r="F39" s="658">
        <v>5.5</v>
      </c>
      <c r="G39" s="659">
        <v>2002</v>
      </c>
      <c r="H39" s="860">
        <v>2022</v>
      </c>
      <c r="I39" s="660">
        <v>7803.25</v>
      </c>
      <c r="J39" s="661">
        <v>7803.25</v>
      </c>
      <c r="K39" s="957"/>
      <c r="L39" s="661">
        <f t="shared" si="0"/>
        <v>0</v>
      </c>
      <c r="M39" s="957"/>
      <c r="N39" s="664">
        <f t="shared" si="1"/>
        <v>0</v>
      </c>
    </row>
    <row r="40" spans="1:14" ht="12.75" customHeight="1" hidden="1">
      <c r="A40" s="654">
        <v>4363583</v>
      </c>
      <c r="B40" s="655" t="s">
        <v>20</v>
      </c>
      <c r="C40" s="655" t="s">
        <v>38</v>
      </c>
      <c r="D40" s="656">
        <v>49982.94</v>
      </c>
      <c r="E40" s="726">
        <f>'2020'!N39</f>
        <v>0</v>
      </c>
      <c r="F40" s="658">
        <v>5.75</v>
      </c>
      <c r="G40" s="659">
        <v>2001</v>
      </c>
      <c r="H40" s="831">
        <v>2020</v>
      </c>
      <c r="I40" s="660"/>
      <c r="J40" s="661"/>
      <c r="K40" s="957"/>
      <c r="L40" s="661">
        <f t="shared" si="0"/>
        <v>0</v>
      </c>
      <c r="M40" s="957"/>
      <c r="N40" s="664">
        <f t="shared" si="1"/>
        <v>0</v>
      </c>
    </row>
    <row r="41" spans="1:14" ht="12.75" customHeight="1" hidden="1">
      <c r="A41" s="699">
        <v>4317938</v>
      </c>
      <c r="B41" s="667" t="s">
        <v>20</v>
      </c>
      <c r="C41" s="667" t="s">
        <v>38</v>
      </c>
      <c r="D41" s="668">
        <v>50396.44</v>
      </c>
      <c r="E41" s="726">
        <f>'2019'!N39</f>
        <v>0</v>
      </c>
      <c r="F41" s="669">
        <v>6.5</v>
      </c>
      <c r="G41" s="670">
        <v>1998</v>
      </c>
      <c r="H41" s="670">
        <v>2017</v>
      </c>
      <c r="I41" s="671"/>
      <c r="J41" s="672"/>
      <c r="K41" s="957"/>
      <c r="L41" s="672">
        <f>I41-J41</f>
        <v>0</v>
      </c>
      <c r="M41" s="957"/>
      <c r="N41" s="728">
        <f>E41-J41</f>
        <v>0</v>
      </c>
    </row>
    <row r="42" spans="1:14" ht="13.5" thickBot="1">
      <c r="A42" s="717" t="s">
        <v>94</v>
      </c>
      <c r="B42" s="655" t="s">
        <v>20</v>
      </c>
      <c r="C42" s="655" t="s">
        <v>85</v>
      </c>
      <c r="D42" s="668">
        <v>130000</v>
      </c>
      <c r="E42" s="726">
        <f>'2021'!N42</f>
        <v>58708.740000000005</v>
      </c>
      <c r="F42" s="669">
        <v>4.39</v>
      </c>
      <c r="G42" s="670">
        <v>2008</v>
      </c>
      <c r="H42" s="670">
        <v>2028</v>
      </c>
      <c r="I42" s="671">
        <v>9832.52</v>
      </c>
      <c r="J42" s="672">
        <v>7334.84</v>
      </c>
      <c r="K42" s="958"/>
      <c r="L42" s="672">
        <f>I42-J42</f>
        <v>2497.6800000000003</v>
      </c>
      <c r="M42" s="958"/>
      <c r="N42" s="664">
        <f>E42-J42</f>
        <v>51373.90000000001</v>
      </c>
    </row>
    <row r="43" spans="1:14" ht="13.5" thickBot="1">
      <c r="A43" s="729"/>
      <c r="B43" s="675"/>
      <c r="C43" s="675"/>
      <c r="D43" s="676"/>
      <c r="E43" s="682" t="s">
        <v>42</v>
      </c>
      <c r="F43" s="678"/>
      <c r="G43" s="679"/>
      <c r="H43" s="680" t="s">
        <v>43</v>
      </c>
      <c r="I43" s="681">
        <f>SUM(I38:I42)</f>
        <v>24387.61</v>
      </c>
      <c r="J43" s="682">
        <f>SUM(J38:J42)</f>
        <v>21878.489999999998</v>
      </c>
      <c r="K43" s="685"/>
      <c r="L43" s="682">
        <f t="shared" si="0"/>
        <v>2509.1200000000026</v>
      </c>
      <c r="M43" s="685"/>
      <c r="N43" s="703">
        <f>SUM(N38:N42)</f>
        <v>65452.08000000001</v>
      </c>
    </row>
    <row r="44" spans="1:14" ht="15.75" customHeight="1" thickBot="1">
      <c r="A44" s="717" t="s">
        <v>105</v>
      </c>
      <c r="B44" s="667" t="s">
        <v>20</v>
      </c>
      <c r="C44" s="730" t="s">
        <v>100</v>
      </c>
      <c r="D44" s="668">
        <v>50000</v>
      </c>
      <c r="E44" s="731">
        <f>'2021'!N44</f>
        <v>25207.85</v>
      </c>
      <c r="F44" s="669">
        <v>4.32</v>
      </c>
      <c r="G44" s="670">
        <v>2010</v>
      </c>
      <c r="H44" s="670">
        <v>2029</v>
      </c>
      <c r="I44" s="671">
        <v>3761.52</v>
      </c>
      <c r="J44" s="700">
        <v>2699.43</v>
      </c>
      <c r="K44" s="66">
        <v>3030</v>
      </c>
      <c r="L44" s="701">
        <f>I44-J44</f>
        <v>1062.0900000000001</v>
      </c>
      <c r="M44" s="66">
        <v>930</v>
      </c>
      <c r="N44" s="664">
        <f>E44-J44</f>
        <v>22508.42</v>
      </c>
    </row>
    <row r="45" spans="1:14" ht="13.5" thickBot="1">
      <c r="A45" s="674"/>
      <c r="B45" s="675"/>
      <c r="C45" s="675"/>
      <c r="D45" s="676"/>
      <c r="E45" s="682" t="s">
        <v>42</v>
      </c>
      <c r="F45" s="678"/>
      <c r="G45" s="679"/>
      <c r="H45" s="680" t="s">
        <v>43</v>
      </c>
      <c r="I45" s="732">
        <f>SUM(I44:I44)</f>
        <v>3761.52</v>
      </c>
      <c r="J45" s="677">
        <f>SUM(J44:J44)</f>
        <v>2699.43</v>
      </c>
      <c r="K45" s="685"/>
      <c r="L45" s="684">
        <f t="shared" si="0"/>
        <v>1062.0900000000001</v>
      </c>
      <c r="M45" s="685"/>
      <c r="N45" s="703">
        <f>SUM(N44:N44)</f>
        <v>22508.42</v>
      </c>
    </row>
    <row r="46" spans="1:14" ht="13.5" hidden="1" thickBot="1">
      <c r="A46" s="733"/>
      <c r="B46" s="734"/>
      <c r="C46" s="734"/>
      <c r="D46" s="735"/>
      <c r="E46" s="736"/>
      <c r="F46" s="737"/>
      <c r="G46" s="738"/>
      <c r="H46" s="738"/>
      <c r="I46" s="739"/>
      <c r="J46" s="736"/>
      <c r="K46" s="740"/>
      <c r="L46" s="715">
        <f t="shared" si="0"/>
        <v>0</v>
      </c>
      <c r="M46" s="66"/>
      <c r="N46" s="741">
        <f t="shared" si="1"/>
        <v>0</v>
      </c>
    </row>
    <row r="47" spans="1:14" ht="13.5" hidden="1" thickBot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661">
        <f t="shared" si="0"/>
        <v>0</v>
      </c>
      <c r="M47" s="27"/>
      <c r="N47" s="741">
        <f t="shared" si="1"/>
        <v>0</v>
      </c>
    </row>
    <row r="48" spans="1:14" ht="13.5" hidden="1" thickBot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0"/>
        <v>0</v>
      </c>
      <c r="M48" s="27"/>
      <c r="N48" s="741">
        <f t="shared" si="1"/>
        <v>0</v>
      </c>
    </row>
    <row r="49" spans="1:14" ht="13.5" hidden="1" thickBot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0"/>
        <v>0</v>
      </c>
      <c r="M49" s="27"/>
      <c r="N49" s="741">
        <f t="shared" si="1"/>
        <v>0</v>
      </c>
    </row>
    <row r="50" spans="1:14" ht="13.5" hidden="1" thickBot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0"/>
        <v>0</v>
      </c>
      <c r="M50" s="27"/>
      <c r="N50" s="741">
        <f t="shared" si="1"/>
        <v>0</v>
      </c>
    </row>
    <row r="51" spans="1:14" ht="13.5" hidden="1" thickBot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0"/>
        <v>0</v>
      </c>
      <c r="M51" s="27"/>
      <c r="N51" s="741">
        <f t="shared" si="1"/>
        <v>0</v>
      </c>
    </row>
    <row r="52" spans="1:14" ht="13.5" hidden="1" thickBot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0"/>
        <v>0</v>
      </c>
      <c r="M52" s="27"/>
      <c r="N52" s="741">
        <f t="shared" si="1"/>
        <v>0</v>
      </c>
    </row>
    <row r="53" spans="1:14" ht="13.5" hidden="1" thickBot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0"/>
        <v>0</v>
      </c>
      <c r="M53" s="27"/>
      <c r="N53" s="741">
        <f t="shared" si="1"/>
        <v>0</v>
      </c>
    </row>
    <row r="54" spans="1:14" ht="13.5" hidden="1" thickBot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0"/>
        <v>0</v>
      </c>
      <c r="M54" s="27"/>
      <c r="N54" s="741">
        <f t="shared" si="1"/>
        <v>0</v>
      </c>
    </row>
    <row r="55" spans="1:14" ht="13.5" hidden="1" thickBot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0"/>
        <v>0</v>
      </c>
      <c r="M55" s="27"/>
      <c r="N55" s="741">
        <f t="shared" si="1"/>
        <v>0</v>
      </c>
    </row>
    <row r="56" spans="1:14" ht="13.5" hidden="1" thickBot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0"/>
        <v>0</v>
      </c>
      <c r="M56" s="27"/>
      <c r="N56" s="741">
        <f t="shared" si="1"/>
        <v>0</v>
      </c>
    </row>
    <row r="57" spans="1:14" ht="13.5" hidden="1" thickBot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0"/>
        <v>0</v>
      </c>
      <c r="M57" s="27"/>
      <c r="N57" s="741">
        <f t="shared" si="1"/>
        <v>0</v>
      </c>
    </row>
    <row r="58" spans="1:14" ht="13.5" hidden="1" thickBot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0"/>
        <v>0</v>
      </c>
      <c r="M58" s="27"/>
      <c r="N58" s="741">
        <f t="shared" si="1"/>
        <v>0</v>
      </c>
    </row>
    <row r="59" spans="1:14" ht="13.5" hidden="1" thickBot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0"/>
        <v>0</v>
      </c>
      <c r="M59" s="27"/>
      <c r="N59" s="741">
        <f t="shared" si="1"/>
        <v>0</v>
      </c>
    </row>
    <row r="60" spans="1:14" ht="13.5" hidden="1" thickBot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0"/>
        <v>0</v>
      </c>
      <c r="M60" s="27"/>
      <c r="N60" s="741">
        <f t="shared" si="1"/>
        <v>0</v>
      </c>
    </row>
    <row r="61" spans="1:14" ht="13.5" hidden="1" thickBot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0"/>
        <v>0</v>
      </c>
      <c r="M61" s="27"/>
      <c r="N61" s="741">
        <f t="shared" si="1"/>
        <v>0</v>
      </c>
    </row>
    <row r="62" spans="1:14" ht="13.5" hidden="1" thickBot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0"/>
        <v>0</v>
      </c>
      <c r="M62" s="27"/>
      <c r="N62" s="741">
        <f t="shared" si="1"/>
        <v>0</v>
      </c>
    </row>
    <row r="63" spans="1:14" ht="13.5" hidden="1" thickBot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0"/>
        <v>0</v>
      </c>
      <c r="M63" s="27"/>
      <c r="N63" s="741">
        <f t="shared" si="1"/>
        <v>0</v>
      </c>
    </row>
    <row r="64" spans="1:14" ht="13.5" hidden="1" thickBot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0"/>
        <v>0</v>
      </c>
      <c r="M64" s="27"/>
      <c r="N64" s="741">
        <f t="shared" si="1"/>
        <v>0</v>
      </c>
    </row>
    <row r="65" spans="1:14" ht="13.5" hidden="1" thickBot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0"/>
        <v>0</v>
      </c>
      <c r="M65" s="27"/>
      <c r="N65" s="741">
        <f t="shared" si="1"/>
        <v>0</v>
      </c>
    </row>
    <row r="66" spans="1:14" ht="13.5" hidden="1" thickBot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0"/>
        <v>0</v>
      </c>
      <c r="M66" s="27"/>
      <c r="N66" s="741">
        <f t="shared" si="1"/>
        <v>0</v>
      </c>
    </row>
    <row r="67" spans="1:14" ht="13.5" hidden="1" thickBot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0"/>
        <v>0</v>
      </c>
      <c r="M67" s="27"/>
      <c r="N67" s="741">
        <f t="shared" si="1"/>
        <v>0</v>
      </c>
    </row>
    <row r="68" spans="1:14" ht="13.5" hidden="1" thickBot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 t="shared" si="0"/>
        <v>0</v>
      </c>
      <c r="M68" s="27"/>
      <c r="N68" s="741">
        <f t="shared" si="1"/>
        <v>0</v>
      </c>
    </row>
    <row r="69" spans="1:14" ht="13.5" hidden="1" thickBot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 t="shared" si="0"/>
        <v>0</v>
      </c>
      <c r="M69" s="27"/>
      <c r="N69" s="741">
        <f t="shared" si="1"/>
        <v>0</v>
      </c>
    </row>
    <row r="70" spans="1:14" ht="13.5" hidden="1" thickBot="1">
      <c r="A70" s="733"/>
      <c r="B70" s="734"/>
      <c r="C70" s="734"/>
      <c r="D70" s="735"/>
      <c r="E70" s="736"/>
      <c r="F70" s="737"/>
      <c r="G70" s="738"/>
      <c r="H70" s="738"/>
      <c r="I70" s="739"/>
      <c r="J70" s="736"/>
      <c r="K70" s="740"/>
      <c r="L70" s="661">
        <f t="shared" si="0"/>
        <v>0</v>
      </c>
      <c r="M70" s="27"/>
      <c r="N70" s="741">
        <f t="shared" si="1"/>
        <v>0</v>
      </c>
    </row>
    <row r="71" spans="1:14" ht="13.5" hidden="1" thickBot="1">
      <c r="A71" s="733"/>
      <c r="B71" s="734"/>
      <c r="C71" s="734"/>
      <c r="D71" s="735"/>
      <c r="E71" s="736"/>
      <c r="F71" s="737"/>
      <c r="G71" s="738"/>
      <c r="H71" s="738"/>
      <c r="I71" s="739"/>
      <c r="J71" s="736"/>
      <c r="K71" s="740"/>
      <c r="L71" s="661">
        <f t="shared" si="0"/>
        <v>0</v>
      </c>
      <c r="M71" s="27"/>
      <c r="N71" s="741">
        <f t="shared" si="1"/>
        <v>0</v>
      </c>
    </row>
    <row r="72" spans="1:14" ht="13.5" hidden="1" thickBot="1">
      <c r="A72" s="733"/>
      <c r="B72" s="734"/>
      <c r="C72" s="734"/>
      <c r="D72" s="735"/>
      <c r="E72" s="736"/>
      <c r="F72" s="737"/>
      <c r="G72" s="738"/>
      <c r="H72" s="738"/>
      <c r="I72" s="739"/>
      <c r="J72" s="736"/>
      <c r="K72" s="740"/>
      <c r="L72" s="661">
        <f>I72-J72</f>
        <v>0</v>
      </c>
      <c r="M72" s="27"/>
      <c r="N72" s="741">
        <f>E72-J72</f>
        <v>0</v>
      </c>
    </row>
    <row r="73" spans="1:14" ht="13.5" hidden="1" thickBot="1">
      <c r="A73" s="733"/>
      <c r="B73" s="734"/>
      <c r="C73" s="734"/>
      <c r="D73" s="735"/>
      <c r="E73" s="736"/>
      <c r="F73" s="737"/>
      <c r="G73" s="738"/>
      <c r="H73" s="738"/>
      <c r="I73" s="739"/>
      <c r="J73" s="736"/>
      <c r="K73" s="740"/>
      <c r="L73" s="661">
        <f>I73-J73</f>
        <v>0</v>
      </c>
      <c r="M73" s="27"/>
      <c r="N73" s="741">
        <f>E73-J73</f>
        <v>0</v>
      </c>
    </row>
    <row r="74" spans="1:14" ht="13.5" hidden="1" thickBot="1">
      <c r="A74" s="742"/>
      <c r="B74" s="705"/>
      <c r="C74" s="705"/>
      <c r="D74" s="706"/>
      <c r="E74" s="743"/>
      <c r="F74" s="708"/>
      <c r="G74" s="709"/>
      <c r="H74" s="709"/>
      <c r="I74" s="710"/>
      <c r="J74" s="743"/>
      <c r="K74" s="744"/>
      <c r="L74" s="672">
        <f>I74-J74</f>
        <v>0</v>
      </c>
      <c r="M74" s="27"/>
      <c r="N74" s="713">
        <f>E74-J74</f>
        <v>0</v>
      </c>
    </row>
    <row r="75" spans="1:14" ht="14.25" thickBot="1" thickTop="1">
      <c r="A75" s="745"/>
      <c r="B75" s="746"/>
      <c r="C75" s="747" t="s">
        <v>8</v>
      </c>
      <c r="D75" s="748">
        <f>SUM(D3:D74)</f>
        <v>3457706.98</v>
      </c>
      <c r="E75" s="749">
        <f>SUM(E3:E74)</f>
        <v>925669.5999999999</v>
      </c>
      <c r="F75" s="135"/>
      <c r="G75" s="135"/>
      <c r="H75" s="135"/>
      <c r="I75" s="750">
        <f>+I12+I19+I21+I33+I37+I43+I45</f>
        <v>165543.02</v>
      </c>
      <c r="J75" s="750">
        <f>+J12+J19+J21+J33+J37+J43+J45</f>
        <v>135506.18</v>
      </c>
      <c r="K75" s="135"/>
      <c r="L75" s="750">
        <f>+L12+L19+L21+L33+L37+L43+L45</f>
        <v>30036.839999999993</v>
      </c>
      <c r="M75" s="135"/>
      <c r="N75" s="751">
        <f>+N12+N19+N21+N33+N37+N43+N45</f>
        <v>790163.42</v>
      </c>
    </row>
    <row r="76" ht="13.5" thickTop="1"/>
    <row r="77" spans="9:17" s="883" customFormat="1" ht="9.75">
      <c r="I77" s="875">
        <f>I3+I4+I38+I39</f>
        <v>54618.45999999999</v>
      </c>
      <c r="J77" s="875">
        <f>J3+J4+J38+J39</f>
        <v>54558.61</v>
      </c>
      <c r="K77" s="879"/>
      <c r="L77" s="875">
        <f>L3+L4+L38+L39</f>
        <v>59.850000000000364</v>
      </c>
      <c r="M77" s="884" t="s">
        <v>181</v>
      </c>
      <c r="N77" s="875">
        <f>N3++N38+N39</f>
        <v>73633.38</v>
      </c>
      <c r="P77" s="853"/>
      <c r="Q77" s="853"/>
    </row>
    <row r="78" spans="1:17" s="752" customFormat="1" ht="9.75">
      <c r="A78" s="752" t="s">
        <v>42</v>
      </c>
      <c r="I78" s="874">
        <f>I75-I77</f>
        <v>110924.56</v>
      </c>
      <c r="J78" s="874">
        <f>J75-J77</f>
        <v>80947.56999999999</v>
      </c>
      <c r="K78" s="770"/>
      <c r="L78" s="874">
        <f>L75-L77</f>
        <v>29976.98999999999</v>
      </c>
      <c r="M78" s="793" t="s">
        <v>188</v>
      </c>
      <c r="N78" s="874">
        <f>N75-N77</f>
        <v>716530.04</v>
      </c>
      <c r="P78" s="770"/>
      <c r="Q78" s="770"/>
    </row>
    <row r="79" spans="9:17" s="752" customFormat="1" ht="9.75">
      <c r="I79" s="770"/>
      <c r="J79" s="770"/>
      <c r="K79" s="770"/>
      <c r="L79" s="872"/>
      <c r="M79" s="830"/>
      <c r="N79" s="770"/>
      <c r="P79" s="770"/>
      <c r="Q79" s="770"/>
    </row>
    <row r="80" spans="9:14" ht="12.75">
      <c r="I80" s="870"/>
      <c r="J80" s="870"/>
      <c r="K80" s="870"/>
      <c r="L80" s="871"/>
      <c r="N80" s="770"/>
    </row>
  </sheetData>
  <sheetProtection/>
  <mergeCells count="9">
    <mergeCell ref="A1:N1"/>
    <mergeCell ref="M3:M11"/>
    <mergeCell ref="M13:M18"/>
    <mergeCell ref="M38:M42"/>
    <mergeCell ref="K3:K11"/>
    <mergeCell ref="K38:K42"/>
    <mergeCell ref="M24:M32"/>
    <mergeCell ref="K13:K18"/>
    <mergeCell ref="K24:K30"/>
  </mergeCells>
  <printOptions horizontalCentered="1"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showGridLines="0" zoomScalePageLayoutView="0" workbookViewId="0" topLeftCell="A19">
      <selection activeCell="A47" sqref="A47"/>
    </sheetView>
  </sheetViews>
  <sheetFormatPr defaultColWidth="9.140625" defaultRowHeight="12.75"/>
  <cols>
    <col min="1" max="1" width="10.7109375" style="2" customWidth="1"/>
    <col min="2" max="2" width="12.421875" style="2" customWidth="1"/>
    <col min="3" max="3" width="17.14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ht="24.75" customHeight="1" thickBot="1">
      <c r="A1" s="954" t="s">
        <v>59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44</v>
      </c>
      <c r="F2" s="138" t="s">
        <v>3</v>
      </c>
      <c r="G2" s="138" t="s">
        <v>4</v>
      </c>
      <c r="H2" s="138" t="s">
        <v>5</v>
      </c>
      <c r="I2" s="138" t="s">
        <v>45</v>
      </c>
      <c r="J2" s="138" t="s">
        <v>46</v>
      </c>
      <c r="K2" s="138" t="s">
        <v>6</v>
      </c>
      <c r="L2" s="138" t="s">
        <v>56</v>
      </c>
      <c r="M2" s="138" t="s">
        <v>6</v>
      </c>
      <c r="N2" s="139" t="s">
        <v>57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f>'2004'!N2</f>
        <v>400480.59</v>
      </c>
      <c r="F3" s="48">
        <v>4.8</v>
      </c>
      <c r="G3" s="49">
        <v>2004</v>
      </c>
      <c r="H3" s="49">
        <v>2023</v>
      </c>
      <c r="I3" s="50">
        <v>32365.92</v>
      </c>
      <c r="J3" s="15">
        <v>13300.57</v>
      </c>
      <c r="K3" s="34" t="s">
        <v>42</v>
      </c>
      <c r="L3" s="15">
        <f>I3-J3</f>
        <v>19065.35</v>
      </c>
      <c r="M3" s="35" t="s">
        <v>42</v>
      </c>
      <c r="N3" s="141">
        <f>E3-J3</f>
        <v>387180.02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f>'2004'!N3</f>
        <v>140611.5</v>
      </c>
      <c r="F4" s="48">
        <v>5.25</v>
      </c>
      <c r="G4" s="49">
        <v>2002.2021</v>
      </c>
      <c r="H4" s="49">
        <v>2021</v>
      </c>
      <c r="I4" s="50">
        <v>12605.48</v>
      </c>
      <c r="J4" s="15">
        <v>5291.94</v>
      </c>
      <c r="K4" s="34"/>
      <c r="L4" s="15">
        <f aca="true" t="shared" si="0" ref="L4:L67">I4-J4</f>
        <v>7313.54</v>
      </c>
      <c r="M4" s="35"/>
      <c r="N4" s="141">
        <f aca="true" t="shared" si="1" ref="N4:N67">E4-J4</f>
        <v>135319.56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f>'2004'!N4</f>
        <v>90816.11</v>
      </c>
      <c r="F5" s="48">
        <v>5.75</v>
      </c>
      <c r="G5" s="49">
        <v>2001</v>
      </c>
      <c r="H5" s="49">
        <v>2020</v>
      </c>
      <c r="I5" s="50">
        <v>8757.58</v>
      </c>
      <c r="J5" s="15">
        <v>3586.47</v>
      </c>
      <c r="K5" s="34"/>
      <c r="L5" s="15">
        <f t="shared" si="0"/>
        <v>5171.110000000001</v>
      </c>
      <c r="M5" s="35"/>
      <c r="N5" s="141">
        <f t="shared" si="1"/>
        <v>87229.64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f>'2004'!N5</f>
        <v>68112.09</v>
      </c>
      <c r="F6" s="48">
        <v>5.75</v>
      </c>
      <c r="G6" s="49">
        <v>2001</v>
      </c>
      <c r="H6" s="49">
        <v>2020</v>
      </c>
      <c r="I6" s="50">
        <v>6568.17</v>
      </c>
      <c r="J6" s="15">
        <v>2689.86</v>
      </c>
      <c r="K6" s="34"/>
      <c r="L6" s="15">
        <f t="shared" si="0"/>
        <v>3878.31</v>
      </c>
      <c r="M6" s="35"/>
      <c r="N6" s="141">
        <f t="shared" si="1"/>
        <v>65422.229999999996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f>'2004'!N6</f>
        <v>134307.57</v>
      </c>
      <c r="F7" s="48">
        <v>0</v>
      </c>
      <c r="G7" s="49">
        <v>2000</v>
      </c>
      <c r="H7" s="49">
        <v>2019</v>
      </c>
      <c r="I7" s="50">
        <v>12653.88</v>
      </c>
      <c r="J7" s="15">
        <v>8953.84</v>
      </c>
      <c r="K7" s="34">
        <v>3030</v>
      </c>
      <c r="L7" s="15">
        <f t="shared" si="0"/>
        <v>3700.039999999999</v>
      </c>
      <c r="M7" s="35">
        <v>283</v>
      </c>
      <c r="N7" s="141">
        <f t="shared" si="1"/>
        <v>125353.73000000001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f>'2004'!N7</f>
        <v>4890.33</v>
      </c>
      <c r="F8" s="48">
        <v>6.5</v>
      </c>
      <c r="G8" s="49">
        <v>1998</v>
      </c>
      <c r="H8" s="49">
        <v>2017</v>
      </c>
      <c r="I8" s="50">
        <v>562.98</v>
      </c>
      <c r="J8" s="15">
        <v>249.09</v>
      </c>
      <c r="K8" s="34"/>
      <c r="L8" s="15">
        <f t="shared" si="0"/>
        <v>313.89</v>
      </c>
      <c r="M8" s="35"/>
      <c r="N8" s="141">
        <f t="shared" si="1"/>
        <v>4641.24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f>'2004'!N8</f>
        <v>117368.28</v>
      </c>
      <c r="F9" s="48">
        <v>6.5</v>
      </c>
      <c r="G9" s="49">
        <v>1998</v>
      </c>
      <c r="H9" s="49">
        <v>2017</v>
      </c>
      <c r="I9" s="50">
        <v>13511.4</v>
      </c>
      <c r="J9" s="15">
        <v>5978.05</v>
      </c>
      <c r="K9" s="34"/>
      <c r="L9" s="15">
        <f t="shared" si="0"/>
        <v>7533.349999999999</v>
      </c>
      <c r="M9" s="35"/>
      <c r="N9" s="141">
        <f t="shared" si="1"/>
        <v>111390.23</v>
      </c>
    </row>
    <row r="10" spans="1:14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f>'2004'!N9</f>
        <v>2475.99</v>
      </c>
      <c r="F10" s="48">
        <v>6.5</v>
      </c>
      <c r="G10" s="49">
        <v>1978</v>
      </c>
      <c r="H10" s="49">
        <v>2012</v>
      </c>
      <c r="I10" s="50">
        <v>401.8</v>
      </c>
      <c r="J10" s="15">
        <v>244.78</v>
      </c>
      <c r="K10" s="34"/>
      <c r="L10" s="15">
        <f t="shared" si="0"/>
        <v>157.02</v>
      </c>
      <c r="M10" s="35"/>
      <c r="N10" s="141">
        <f t="shared" si="1"/>
        <v>2231.2099999999996</v>
      </c>
    </row>
    <row r="11" spans="1:14" ht="12.75">
      <c r="A11" s="140">
        <v>647568</v>
      </c>
      <c r="B11" s="46" t="s">
        <v>7</v>
      </c>
      <c r="C11" s="46" t="s">
        <v>15</v>
      </c>
      <c r="D11" s="47">
        <v>17636.83</v>
      </c>
      <c r="E11" s="55">
        <f>'2004'!N10</f>
        <v>8066.91</v>
      </c>
      <c r="F11" s="48">
        <v>6.5</v>
      </c>
      <c r="G11" s="49">
        <v>1976</v>
      </c>
      <c r="H11" s="49">
        <v>2011</v>
      </c>
      <c r="I11" s="50">
        <v>1452.72</v>
      </c>
      <c r="J11" s="15">
        <v>943.45</v>
      </c>
      <c r="K11" s="34"/>
      <c r="L11" s="15">
        <f t="shared" si="0"/>
        <v>509.27</v>
      </c>
      <c r="M11" s="35"/>
      <c r="N11" s="141">
        <f t="shared" si="1"/>
        <v>7123.46</v>
      </c>
    </row>
    <row r="12" spans="1:14" ht="13.5" thickBot="1">
      <c r="A12" s="143">
        <v>96661</v>
      </c>
      <c r="B12" s="82" t="s">
        <v>19</v>
      </c>
      <c r="C12" s="82" t="s">
        <v>15</v>
      </c>
      <c r="D12" s="83">
        <v>154937.07</v>
      </c>
      <c r="E12" s="84">
        <f>'2004'!N11</f>
        <v>18227.89</v>
      </c>
      <c r="F12" s="87">
        <v>3.382</v>
      </c>
      <c r="G12" s="86">
        <v>1997</v>
      </c>
      <c r="H12" s="88">
        <v>2005</v>
      </c>
      <c r="I12" s="89">
        <v>19623.45</v>
      </c>
      <c r="J12" s="90">
        <v>18227.89</v>
      </c>
      <c r="K12" s="64">
        <v>3040</v>
      </c>
      <c r="L12" s="90">
        <f t="shared" si="0"/>
        <v>1395.5600000000013</v>
      </c>
      <c r="M12" s="35"/>
      <c r="N12" s="144">
        <f t="shared" si="1"/>
        <v>0</v>
      </c>
    </row>
    <row r="13" spans="1:14" ht="13.5" thickBot="1">
      <c r="A13" s="145"/>
      <c r="B13" s="98"/>
      <c r="C13" s="98"/>
      <c r="D13" s="99"/>
      <c r="E13" s="100" t="s">
        <v>42</v>
      </c>
      <c r="F13" s="101"/>
      <c r="G13" s="102"/>
      <c r="H13" s="103" t="s">
        <v>43</v>
      </c>
      <c r="I13" s="104">
        <f>SUM(I3:I12)</f>
        <v>108503.37999999999</v>
      </c>
      <c r="J13" s="100">
        <f>SUM(J3:J12)</f>
        <v>59465.939999999995</v>
      </c>
      <c r="K13" s="105"/>
      <c r="L13" s="106">
        <f t="shared" si="0"/>
        <v>49037.439999999995</v>
      </c>
      <c r="M13" s="107"/>
      <c r="N13" s="146">
        <f>SUM(N3:N12)</f>
        <v>925891.3199999998</v>
      </c>
    </row>
    <row r="14" spans="1:14" ht="12.75">
      <c r="A14" s="147">
        <v>4367661</v>
      </c>
      <c r="B14" s="91" t="s">
        <v>20</v>
      </c>
      <c r="C14" s="91" t="s">
        <v>21</v>
      </c>
      <c r="D14" s="92">
        <v>51645.69</v>
      </c>
      <c r="E14" s="56">
        <f>'2004'!N13</f>
        <v>45408.03999999999</v>
      </c>
      <c r="F14" s="93">
        <v>5.75</v>
      </c>
      <c r="G14" s="94">
        <v>2001</v>
      </c>
      <c r="H14" s="94">
        <v>2020</v>
      </c>
      <c r="I14" s="95">
        <v>4378.78</v>
      </c>
      <c r="J14" s="96">
        <v>1793.23</v>
      </c>
      <c r="K14" s="65"/>
      <c r="L14" s="97">
        <f t="shared" si="0"/>
        <v>2585.5499999999997</v>
      </c>
      <c r="M14" s="66"/>
      <c r="N14" s="148">
        <f t="shared" si="1"/>
        <v>43614.80999999999</v>
      </c>
    </row>
    <row r="15" spans="1:14" ht="12.75">
      <c r="A15" s="140">
        <v>4363580</v>
      </c>
      <c r="B15" s="46" t="s">
        <v>20</v>
      </c>
      <c r="C15" s="46" t="s">
        <v>22</v>
      </c>
      <c r="D15" s="47">
        <v>77468.53</v>
      </c>
      <c r="E15" s="55">
        <f>'2004'!N14</f>
        <v>68112.09</v>
      </c>
      <c r="F15" s="48">
        <v>5.75</v>
      </c>
      <c r="G15" s="49">
        <v>2001</v>
      </c>
      <c r="H15" s="49">
        <v>2020</v>
      </c>
      <c r="I15" s="50">
        <v>6568.17</v>
      </c>
      <c r="J15" s="43">
        <v>2689.86</v>
      </c>
      <c r="K15" s="65"/>
      <c r="L15" s="42">
        <f t="shared" si="0"/>
        <v>3878.31</v>
      </c>
      <c r="M15" s="66"/>
      <c r="N15" s="141">
        <f t="shared" si="1"/>
        <v>65422.229999999996</v>
      </c>
    </row>
    <row r="16" spans="1:14" ht="12.75">
      <c r="A16" s="142" t="s">
        <v>23</v>
      </c>
      <c r="B16" s="46" t="s">
        <v>20</v>
      </c>
      <c r="C16" s="46" t="s">
        <v>24</v>
      </c>
      <c r="D16" s="47">
        <v>55628.72</v>
      </c>
      <c r="E16" s="55">
        <f>'2004'!N15</f>
        <v>43565.869999999995</v>
      </c>
      <c r="F16" s="48">
        <v>4.85</v>
      </c>
      <c r="G16" s="49">
        <v>1999</v>
      </c>
      <c r="H16" s="49">
        <v>2018</v>
      </c>
      <c r="I16" s="50">
        <v>4323.16</v>
      </c>
      <c r="J16" s="43">
        <v>2237.01</v>
      </c>
      <c r="K16" s="65">
        <v>3030</v>
      </c>
      <c r="L16" s="42">
        <f t="shared" si="0"/>
        <v>2086.1499999999996</v>
      </c>
      <c r="M16" s="66">
        <v>518</v>
      </c>
      <c r="N16" s="141">
        <f t="shared" si="1"/>
        <v>41328.85999999999</v>
      </c>
    </row>
    <row r="17" spans="1:14" ht="12.75">
      <c r="A17" s="140">
        <v>4271244</v>
      </c>
      <c r="B17" s="46" t="s">
        <v>20</v>
      </c>
      <c r="C17" s="46" t="s">
        <v>25</v>
      </c>
      <c r="D17" s="47">
        <v>69205.22</v>
      </c>
      <c r="E17" s="55">
        <f>'2004'!N16</f>
        <v>49883.62</v>
      </c>
      <c r="F17" s="48">
        <v>6.5</v>
      </c>
      <c r="G17" s="49">
        <v>1996</v>
      </c>
      <c r="H17" s="49">
        <v>2015</v>
      </c>
      <c r="I17" s="50">
        <v>6417.96</v>
      </c>
      <c r="J17" s="43">
        <v>3227.14</v>
      </c>
      <c r="K17" s="65"/>
      <c r="L17" s="42">
        <f t="shared" si="0"/>
        <v>3190.82</v>
      </c>
      <c r="M17" s="66"/>
      <c r="N17" s="141">
        <f t="shared" si="1"/>
        <v>46656.48</v>
      </c>
    </row>
    <row r="18" spans="1:14" ht="13.5" thickBot="1">
      <c r="A18" s="143">
        <v>627655</v>
      </c>
      <c r="B18" s="82" t="s">
        <v>20</v>
      </c>
      <c r="C18" s="82" t="s">
        <v>22</v>
      </c>
      <c r="D18" s="83">
        <v>2210.44</v>
      </c>
      <c r="E18" s="84">
        <f>'2004'!N17</f>
        <v>134.53000000000003</v>
      </c>
      <c r="F18" s="85">
        <v>4.85</v>
      </c>
      <c r="G18" s="86">
        <v>1971</v>
      </c>
      <c r="H18" s="88">
        <v>2005</v>
      </c>
      <c r="I18" s="89">
        <v>139.38</v>
      </c>
      <c r="J18" s="90">
        <v>134.53</v>
      </c>
      <c r="K18" s="65"/>
      <c r="L18" s="108">
        <f t="shared" si="0"/>
        <v>4.849999999999994</v>
      </c>
      <c r="M18" s="66"/>
      <c r="N18" s="144">
        <f t="shared" si="1"/>
        <v>0</v>
      </c>
    </row>
    <row r="19" spans="1:14" ht="13.5" thickBot="1">
      <c r="A19" s="145"/>
      <c r="B19" s="98"/>
      <c r="C19" s="98"/>
      <c r="D19" s="99"/>
      <c r="E19" s="110" t="s">
        <v>42</v>
      </c>
      <c r="F19" s="101"/>
      <c r="G19" s="102"/>
      <c r="H19" s="103" t="s">
        <v>43</v>
      </c>
      <c r="I19" s="104">
        <f>SUM(I14:I18)</f>
        <v>21827.45</v>
      </c>
      <c r="J19" s="100">
        <f>SUM(J14:J18)</f>
        <v>10081.77</v>
      </c>
      <c r="K19" s="105"/>
      <c r="L19" s="106">
        <f t="shared" si="0"/>
        <v>11745.68</v>
      </c>
      <c r="M19" s="107"/>
      <c r="N19" s="146">
        <f>SUM(N14:N18)</f>
        <v>197022.37999999998</v>
      </c>
    </row>
    <row r="20" spans="1:14" ht="13.5" thickBot="1">
      <c r="A20" s="149">
        <v>22851</v>
      </c>
      <c r="B20" s="111" t="s">
        <v>26</v>
      </c>
      <c r="C20" s="111" t="s">
        <v>27</v>
      </c>
      <c r="D20" s="112">
        <v>77468.53</v>
      </c>
      <c r="E20" s="113">
        <f>'2004'!N19</f>
        <v>66197.05</v>
      </c>
      <c r="F20" s="114">
        <v>5</v>
      </c>
      <c r="G20" s="115">
        <v>2002</v>
      </c>
      <c r="H20" s="115">
        <v>2016</v>
      </c>
      <c r="I20" s="116">
        <v>7402.53</v>
      </c>
      <c r="J20" s="117">
        <v>4143.83</v>
      </c>
      <c r="K20" s="34">
        <v>3040</v>
      </c>
      <c r="L20" s="118">
        <f t="shared" si="0"/>
        <v>3258.7</v>
      </c>
      <c r="M20" s="66">
        <v>645</v>
      </c>
      <c r="N20" s="150">
        <f t="shared" si="1"/>
        <v>62053.22</v>
      </c>
    </row>
    <row r="21" spans="1:14" ht="13.5" thickBot="1">
      <c r="A21" s="145"/>
      <c r="B21" s="98"/>
      <c r="C21" s="98"/>
      <c r="D21" s="99"/>
      <c r="E21" s="100" t="s">
        <v>42</v>
      </c>
      <c r="F21" s="101"/>
      <c r="G21" s="103"/>
      <c r="H21" s="103" t="s">
        <v>43</v>
      </c>
      <c r="I21" s="104">
        <f>SUM(I20)</f>
        <v>7402.53</v>
      </c>
      <c r="J21" s="100">
        <f>SUM(J20)</f>
        <v>4143.83</v>
      </c>
      <c r="K21" s="107"/>
      <c r="L21" s="106">
        <f t="shared" si="0"/>
        <v>3258.7</v>
      </c>
      <c r="M21" s="107"/>
      <c r="N21" s="146">
        <f>SUM(N20)</f>
        <v>62053.22</v>
      </c>
    </row>
    <row r="22" spans="1:14" ht="12.75">
      <c r="A22" s="151" t="s">
        <v>28</v>
      </c>
      <c r="B22" s="91" t="s">
        <v>20</v>
      </c>
      <c r="C22" s="91" t="s">
        <v>29</v>
      </c>
      <c r="D22" s="92">
        <v>17559.53</v>
      </c>
      <c r="E22" s="76">
        <f>'2004'!N21</f>
        <v>15438.73</v>
      </c>
      <c r="F22" s="93">
        <v>5.75</v>
      </c>
      <c r="G22" s="94">
        <v>2001</v>
      </c>
      <c r="H22" s="94">
        <v>2020</v>
      </c>
      <c r="I22" s="95">
        <v>1488.78</v>
      </c>
      <c r="J22" s="109">
        <v>609.7</v>
      </c>
      <c r="K22" s="34"/>
      <c r="L22" s="109">
        <f t="shared" si="0"/>
        <v>879.0799999999999</v>
      </c>
      <c r="M22" s="35"/>
      <c r="N22" s="148">
        <f t="shared" si="1"/>
        <v>14829.029999999999</v>
      </c>
    </row>
    <row r="23" spans="1:14" ht="12.75">
      <c r="A23" s="140">
        <v>4364549</v>
      </c>
      <c r="B23" s="46" t="s">
        <v>20</v>
      </c>
      <c r="C23" s="46" t="s">
        <v>29</v>
      </c>
      <c r="D23" s="47">
        <v>137377.54</v>
      </c>
      <c r="E23" s="77">
        <f>'2004'!N22</f>
        <v>120785.43000000001</v>
      </c>
      <c r="F23" s="48">
        <v>5.75</v>
      </c>
      <c r="G23" s="49">
        <v>2001</v>
      </c>
      <c r="H23" s="49">
        <v>2020</v>
      </c>
      <c r="I23" s="50">
        <v>11647.56</v>
      </c>
      <c r="J23" s="15">
        <v>4770</v>
      </c>
      <c r="K23" s="34"/>
      <c r="L23" s="15">
        <f t="shared" si="0"/>
        <v>6877.5599999999995</v>
      </c>
      <c r="M23" s="35"/>
      <c r="N23" s="141">
        <f t="shared" si="1"/>
        <v>116015.43000000001</v>
      </c>
    </row>
    <row r="24" spans="1:14" ht="12.75">
      <c r="A24" s="140">
        <v>4297871</v>
      </c>
      <c r="B24" s="46" t="s">
        <v>20</v>
      </c>
      <c r="C24" s="46" t="s">
        <v>29</v>
      </c>
      <c r="D24" s="47">
        <v>129114.22</v>
      </c>
      <c r="E24" s="77">
        <f>'2004'!N23</f>
        <v>97574.55</v>
      </c>
      <c r="F24" s="48">
        <v>6.5</v>
      </c>
      <c r="G24" s="49">
        <v>1997</v>
      </c>
      <c r="H24" s="49">
        <v>2016</v>
      </c>
      <c r="I24" s="50">
        <v>11835.58</v>
      </c>
      <c r="J24" s="15">
        <v>5582.5</v>
      </c>
      <c r="K24" s="34"/>
      <c r="L24" s="15">
        <f t="shared" si="0"/>
        <v>6253.08</v>
      </c>
      <c r="M24" s="35"/>
      <c r="N24" s="141">
        <f t="shared" si="1"/>
        <v>91992.05</v>
      </c>
    </row>
    <row r="25" spans="1:14" ht="12.75">
      <c r="A25" s="140">
        <v>4268507</v>
      </c>
      <c r="B25" s="46" t="s">
        <v>20</v>
      </c>
      <c r="C25" s="46" t="s">
        <v>29</v>
      </c>
      <c r="D25" s="47">
        <v>77468.53</v>
      </c>
      <c r="E25" s="77">
        <f>'2004'!N24</f>
        <v>55839.89</v>
      </c>
      <c r="F25" s="48">
        <v>6.5</v>
      </c>
      <c r="G25" s="49">
        <v>1996</v>
      </c>
      <c r="H25" s="49">
        <v>2015</v>
      </c>
      <c r="I25" s="50">
        <v>7184.3</v>
      </c>
      <c r="J25" s="15">
        <v>3612.46</v>
      </c>
      <c r="K25" s="34"/>
      <c r="L25" s="15">
        <f t="shared" si="0"/>
        <v>3571.84</v>
      </c>
      <c r="M25" s="35"/>
      <c r="N25" s="141">
        <f t="shared" si="1"/>
        <v>52227.43</v>
      </c>
    </row>
    <row r="26" spans="1:14" ht="12.75">
      <c r="A26" s="142" t="s">
        <v>30</v>
      </c>
      <c r="B26" s="46" t="s">
        <v>20</v>
      </c>
      <c r="C26" s="46" t="s">
        <v>29</v>
      </c>
      <c r="D26" s="47">
        <v>74741.64</v>
      </c>
      <c r="E26" s="77">
        <f>'2004'!N25</f>
        <v>46453.73</v>
      </c>
      <c r="F26" s="48">
        <v>6.5</v>
      </c>
      <c r="G26" s="49">
        <v>1981</v>
      </c>
      <c r="H26" s="49">
        <v>2015</v>
      </c>
      <c r="I26" s="50">
        <v>5976.68</v>
      </c>
      <c r="J26" s="15">
        <v>3005.24</v>
      </c>
      <c r="K26" s="34">
        <v>3030</v>
      </c>
      <c r="L26" s="15">
        <f t="shared" si="0"/>
        <v>2971.4400000000005</v>
      </c>
      <c r="M26" s="35">
        <v>760</v>
      </c>
      <c r="N26" s="141">
        <f t="shared" si="1"/>
        <v>43448.490000000005</v>
      </c>
    </row>
    <row r="27" spans="1:14" ht="12.75">
      <c r="A27" s="140">
        <v>687881</v>
      </c>
      <c r="B27" s="46" t="s">
        <v>20</v>
      </c>
      <c r="C27" s="46" t="s">
        <v>29</v>
      </c>
      <c r="D27" s="47">
        <v>10329.14</v>
      </c>
      <c r="E27" s="77">
        <f>'2004'!N26</f>
        <v>4724.41</v>
      </c>
      <c r="F27" s="48">
        <v>6.5</v>
      </c>
      <c r="G27" s="49">
        <v>1977</v>
      </c>
      <c r="H27" s="49">
        <v>2011</v>
      </c>
      <c r="I27" s="50">
        <v>850.8</v>
      </c>
      <c r="J27" s="15">
        <v>552.54</v>
      </c>
      <c r="K27" s="34"/>
      <c r="L27" s="15">
        <f t="shared" si="0"/>
        <v>298.26</v>
      </c>
      <c r="M27" s="35"/>
      <c r="N27" s="141">
        <f t="shared" si="1"/>
        <v>4171.87</v>
      </c>
    </row>
    <row r="28" spans="1:14" ht="12.75">
      <c r="A28" s="142" t="s">
        <v>31</v>
      </c>
      <c r="B28" s="46" t="s">
        <v>20</v>
      </c>
      <c r="C28" s="46" t="s">
        <v>29</v>
      </c>
      <c r="D28" s="47">
        <v>5087.74</v>
      </c>
      <c r="E28" s="77">
        <f>'2004'!N27</f>
        <v>1453.88</v>
      </c>
      <c r="F28" s="48">
        <v>5</v>
      </c>
      <c r="G28" s="49">
        <v>1975</v>
      </c>
      <c r="H28" s="49">
        <v>2009</v>
      </c>
      <c r="I28" s="50">
        <v>331.66</v>
      </c>
      <c r="J28" s="15">
        <v>263.12</v>
      </c>
      <c r="K28" s="34"/>
      <c r="L28" s="15">
        <f t="shared" si="0"/>
        <v>68.54000000000002</v>
      </c>
      <c r="M28" s="35"/>
      <c r="N28" s="141">
        <f t="shared" si="1"/>
        <v>1190.7600000000002</v>
      </c>
    </row>
    <row r="29" spans="1:14" ht="12.75">
      <c r="A29" s="140">
        <v>3033507</v>
      </c>
      <c r="B29" s="46" t="s">
        <v>20</v>
      </c>
      <c r="C29" s="46" t="s">
        <v>29</v>
      </c>
      <c r="D29" s="47">
        <v>23240.56</v>
      </c>
      <c r="E29" s="77">
        <f>'2004'!N28</f>
        <v>12694.25</v>
      </c>
      <c r="F29" s="48">
        <v>6.5</v>
      </c>
      <c r="G29" s="49">
        <v>1979</v>
      </c>
      <c r="H29" s="49">
        <v>2013</v>
      </c>
      <c r="I29" s="50">
        <v>1885.2</v>
      </c>
      <c r="J29" s="15">
        <v>1077.31</v>
      </c>
      <c r="K29" s="34"/>
      <c r="L29" s="15">
        <f t="shared" si="0"/>
        <v>807.8900000000001</v>
      </c>
      <c r="M29" s="35"/>
      <c r="N29" s="141">
        <f t="shared" si="1"/>
        <v>11616.94</v>
      </c>
    </row>
    <row r="30" spans="1:14" ht="12.75">
      <c r="A30" s="143">
        <v>634153</v>
      </c>
      <c r="B30" s="46" t="s">
        <v>20</v>
      </c>
      <c r="C30" s="46" t="s">
        <v>29</v>
      </c>
      <c r="D30" s="83">
        <v>1549.37</v>
      </c>
      <c r="E30" s="84">
        <v>280.77</v>
      </c>
      <c r="F30" s="85">
        <v>6.5</v>
      </c>
      <c r="G30" s="86">
        <v>1972</v>
      </c>
      <c r="H30" s="86">
        <v>2007</v>
      </c>
      <c r="I30" s="89">
        <v>101.82</v>
      </c>
      <c r="J30" s="90">
        <v>89.06</v>
      </c>
      <c r="K30" s="34"/>
      <c r="L30" s="90">
        <f t="shared" si="0"/>
        <v>12.759999999999991</v>
      </c>
      <c r="M30" s="35"/>
      <c r="N30" s="141">
        <f t="shared" si="1"/>
        <v>191.70999999999998</v>
      </c>
    </row>
    <row r="31" spans="1:14" ht="13.5" thickBot="1">
      <c r="A31" s="209" t="s">
        <v>62</v>
      </c>
      <c r="B31" s="210" t="s">
        <v>20</v>
      </c>
      <c r="C31" s="210" t="s">
        <v>29</v>
      </c>
      <c r="D31" s="211">
        <v>160000</v>
      </c>
      <c r="E31" s="212">
        <v>160000</v>
      </c>
      <c r="F31" s="213">
        <v>4.75</v>
      </c>
      <c r="G31" s="214">
        <v>2005</v>
      </c>
      <c r="H31" s="214">
        <v>2025</v>
      </c>
      <c r="I31" s="215">
        <v>12480.7</v>
      </c>
      <c r="J31" s="216">
        <v>4938.67</v>
      </c>
      <c r="K31" s="34"/>
      <c r="L31" s="216">
        <f t="shared" si="0"/>
        <v>7542.030000000001</v>
      </c>
      <c r="M31" s="35"/>
      <c r="N31" s="217">
        <f t="shared" si="1"/>
        <v>155061.33</v>
      </c>
    </row>
    <row r="32" spans="1:14" ht="13.5" thickBot="1">
      <c r="A32" s="145"/>
      <c r="B32" s="98"/>
      <c r="C32" s="98"/>
      <c r="D32" s="99"/>
      <c r="E32" s="110" t="s">
        <v>42</v>
      </c>
      <c r="F32" s="101"/>
      <c r="G32" s="102"/>
      <c r="H32" s="103" t="s">
        <v>43</v>
      </c>
      <c r="I32" s="104">
        <f>SUM(I22:I31)</f>
        <v>53783.08</v>
      </c>
      <c r="J32" s="100">
        <f>SUM(J22:J31)</f>
        <v>24500.600000000006</v>
      </c>
      <c r="K32" s="107"/>
      <c r="L32" s="106">
        <f t="shared" si="0"/>
        <v>29282.479999999996</v>
      </c>
      <c r="M32" s="107"/>
      <c r="N32" s="146">
        <f>SUM(N22:N31)</f>
        <v>490745.04000000004</v>
      </c>
    </row>
    <row r="33" spans="1:14" ht="12.75">
      <c r="A33" s="151" t="s">
        <v>32</v>
      </c>
      <c r="B33" s="91" t="s">
        <v>20</v>
      </c>
      <c r="C33" s="91" t="s">
        <v>33</v>
      </c>
      <c r="D33" s="92">
        <v>13180.75</v>
      </c>
      <c r="E33" s="76">
        <f>'2004'!N31</f>
        <v>10400.75</v>
      </c>
      <c r="F33" s="93">
        <v>6.5</v>
      </c>
      <c r="G33" s="94">
        <v>1998</v>
      </c>
      <c r="H33" s="94">
        <v>2017</v>
      </c>
      <c r="I33" s="95">
        <v>1197.32</v>
      </c>
      <c r="J33" s="109">
        <v>529.75</v>
      </c>
      <c r="K33" s="34"/>
      <c r="L33" s="109">
        <f t="shared" si="0"/>
        <v>667.5699999999999</v>
      </c>
      <c r="M33" s="35"/>
      <c r="N33" s="148">
        <f t="shared" si="1"/>
        <v>9871</v>
      </c>
    </row>
    <row r="34" spans="1:14" ht="12.75">
      <c r="A34" s="140">
        <v>4317937</v>
      </c>
      <c r="B34" s="46" t="s">
        <v>20</v>
      </c>
      <c r="C34" s="46" t="s">
        <v>33</v>
      </c>
      <c r="D34" s="47">
        <v>90110.63</v>
      </c>
      <c r="E34" s="77">
        <f>'2004'!N32</f>
        <v>71105</v>
      </c>
      <c r="F34" s="48">
        <v>6.5</v>
      </c>
      <c r="G34" s="49">
        <v>1998</v>
      </c>
      <c r="H34" s="49">
        <v>2017</v>
      </c>
      <c r="I34" s="50">
        <v>8185.58</v>
      </c>
      <c r="J34" s="15">
        <v>3621.67</v>
      </c>
      <c r="K34" s="34"/>
      <c r="L34" s="15">
        <f t="shared" si="0"/>
        <v>4563.91</v>
      </c>
      <c r="M34" s="35"/>
      <c r="N34" s="141">
        <f t="shared" si="1"/>
        <v>67483.33</v>
      </c>
    </row>
    <row r="35" spans="1:14" ht="12.75">
      <c r="A35" s="142" t="s">
        <v>34</v>
      </c>
      <c r="B35" s="46" t="s">
        <v>20</v>
      </c>
      <c r="C35" s="46" t="s">
        <v>33</v>
      </c>
      <c r="D35" s="47">
        <v>51645.69</v>
      </c>
      <c r="E35" s="77">
        <f>'2004'!N33</f>
        <v>40752.87</v>
      </c>
      <c r="F35" s="48">
        <v>6.5</v>
      </c>
      <c r="G35" s="49">
        <v>1998</v>
      </c>
      <c r="H35" s="49">
        <v>2017</v>
      </c>
      <c r="I35" s="50">
        <v>4691.46</v>
      </c>
      <c r="J35" s="15">
        <v>2075.71</v>
      </c>
      <c r="K35" s="34"/>
      <c r="L35" s="15">
        <f t="shared" si="0"/>
        <v>2615.75</v>
      </c>
      <c r="M35" s="35"/>
      <c r="N35" s="141">
        <f t="shared" si="1"/>
        <v>38677.16</v>
      </c>
    </row>
    <row r="36" spans="1:14" ht="12.75">
      <c r="A36" s="140">
        <v>4297902</v>
      </c>
      <c r="B36" s="46" t="s">
        <v>20</v>
      </c>
      <c r="C36" s="46" t="s">
        <v>33</v>
      </c>
      <c r="D36" s="47">
        <v>51645.69</v>
      </c>
      <c r="E36" s="77">
        <f>'2004'!N34</f>
        <v>39029.840000000004</v>
      </c>
      <c r="F36" s="48">
        <v>6.5</v>
      </c>
      <c r="G36" s="49">
        <v>1997</v>
      </c>
      <c r="H36" s="49">
        <v>2016</v>
      </c>
      <c r="I36" s="50">
        <v>4734.24</v>
      </c>
      <c r="J36" s="15">
        <v>2233</v>
      </c>
      <c r="K36" s="34"/>
      <c r="L36" s="15">
        <f t="shared" si="0"/>
        <v>2501.24</v>
      </c>
      <c r="M36" s="35"/>
      <c r="N36" s="141">
        <f t="shared" si="1"/>
        <v>36796.840000000004</v>
      </c>
    </row>
    <row r="37" spans="1:14" ht="12.75">
      <c r="A37" s="140">
        <v>4142025</v>
      </c>
      <c r="B37" s="46" t="s">
        <v>20</v>
      </c>
      <c r="C37" s="46" t="s">
        <v>33</v>
      </c>
      <c r="D37" s="47">
        <v>6722.63</v>
      </c>
      <c r="E37" s="77">
        <f>'2004'!N35</f>
        <v>2743.71</v>
      </c>
      <c r="F37" s="48">
        <v>6.5</v>
      </c>
      <c r="G37" s="49">
        <v>1990</v>
      </c>
      <c r="H37" s="49">
        <v>2009</v>
      </c>
      <c r="I37" s="50">
        <v>651.52</v>
      </c>
      <c r="J37" s="15">
        <v>480.87</v>
      </c>
      <c r="K37" s="34"/>
      <c r="L37" s="15">
        <f t="shared" si="0"/>
        <v>170.64999999999998</v>
      </c>
      <c r="M37" s="35"/>
      <c r="N37" s="141">
        <f t="shared" si="1"/>
        <v>2262.84</v>
      </c>
    </row>
    <row r="38" spans="1:14" ht="12.75">
      <c r="A38" s="142" t="s">
        <v>35</v>
      </c>
      <c r="B38" s="46" t="s">
        <v>20</v>
      </c>
      <c r="C38" s="46" t="s">
        <v>33</v>
      </c>
      <c r="D38" s="47">
        <v>96568.75</v>
      </c>
      <c r="E38" s="77">
        <f>'2004'!N36</f>
        <v>39412.77</v>
      </c>
      <c r="F38" s="48">
        <v>6.5</v>
      </c>
      <c r="G38" s="49">
        <v>1990</v>
      </c>
      <c r="H38" s="49">
        <v>2009</v>
      </c>
      <c r="I38" s="50">
        <v>9359.04</v>
      </c>
      <c r="J38" s="15">
        <v>6907.67</v>
      </c>
      <c r="K38" s="34">
        <v>3030</v>
      </c>
      <c r="L38" s="15">
        <f t="shared" si="0"/>
        <v>2451.370000000001</v>
      </c>
      <c r="M38" s="35">
        <v>820</v>
      </c>
      <c r="N38" s="141">
        <f t="shared" si="1"/>
        <v>32505.1</v>
      </c>
    </row>
    <row r="39" spans="1:14" ht="12.75">
      <c r="A39" s="140">
        <v>3078427</v>
      </c>
      <c r="B39" s="46" t="s">
        <v>20</v>
      </c>
      <c r="C39" s="46" t="s">
        <v>33</v>
      </c>
      <c r="D39" s="47">
        <v>144.61</v>
      </c>
      <c r="E39" s="77">
        <f>'2004'!N37</f>
        <v>89.86</v>
      </c>
      <c r="F39" s="48">
        <v>6.5</v>
      </c>
      <c r="G39" s="49">
        <v>1981</v>
      </c>
      <c r="H39" s="49">
        <v>2015</v>
      </c>
      <c r="I39" s="50">
        <v>11.56</v>
      </c>
      <c r="J39" s="15">
        <v>5.81</v>
      </c>
      <c r="K39" s="34"/>
      <c r="L39" s="15">
        <f t="shared" si="0"/>
        <v>5.750000000000001</v>
      </c>
      <c r="M39" s="35"/>
      <c r="N39" s="141">
        <f t="shared" si="1"/>
        <v>84.05</v>
      </c>
    </row>
    <row r="40" spans="1:14" ht="12.75">
      <c r="A40" s="142" t="s">
        <v>36</v>
      </c>
      <c r="B40" s="46" t="s">
        <v>20</v>
      </c>
      <c r="C40" s="46" t="s">
        <v>33</v>
      </c>
      <c r="D40" s="47">
        <v>3088.81</v>
      </c>
      <c r="E40" s="77">
        <f>'2004'!N38</f>
        <v>1555.64</v>
      </c>
      <c r="F40" s="48">
        <v>6.5</v>
      </c>
      <c r="G40" s="49">
        <v>1978</v>
      </c>
      <c r="H40" s="49">
        <v>2012</v>
      </c>
      <c r="I40" s="50">
        <v>252.44</v>
      </c>
      <c r="J40" s="15">
        <v>153.79</v>
      </c>
      <c r="K40" s="34"/>
      <c r="L40" s="15">
        <f t="shared" si="0"/>
        <v>98.65</v>
      </c>
      <c r="M40" s="35"/>
      <c r="N40" s="141">
        <f t="shared" si="1"/>
        <v>1401.8500000000001</v>
      </c>
    </row>
    <row r="41" spans="1:14" ht="12.75">
      <c r="A41" s="140">
        <v>675829</v>
      </c>
      <c r="B41" s="46" t="s">
        <v>20</v>
      </c>
      <c r="C41" s="46" t="s">
        <v>33</v>
      </c>
      <c r="D41" s="47">
        <v>2091.65</v>
      </c>
      <c r="E41" s="77">
        <f>'2004'!N39</f>
        <v>737.46</v>
      </c>
      <c r="F41" s="48">
        <v>6.5</v>
      </c>
      <c r="G41" s="49">
        <v>1975</v>
      </c>
      <c r="H41" s="49">
        <v>2009</v>
      </c>
      <c r="I41" s="50">
        <v>175.12</v>
      </c>
      <c r="J41" s="15">
        <v>129.25</v>
      </c>
      <c r="K41" s="34"/>
      <c r="L41" s="15">
        <f t="shared" si="0"/>
        <v>45.870000000000005</v>
      </c>
      <c r="M41" s="35"/>
      <c r="N41" s="141">
        <f t="shared" si="1"/>
        <v>608.21</v>
      </c>
    </row>
    <row r="42" spans="1:14" ht="12.75">
      <c r="A42" s="142" t="s">
        <v>37</v>
      </c>
      <c r="B42" s="46" t="s">
        <v>20</v>
      </c>
      <c r="C42" s="46" t="s">
        <v>33</v>
      </c>
      <c r="D42" s="47">
        <v>841.65</v>
      </c>
      <c r="E42" s="77">
        <f>'2004'!N40</f>
        <v>384.94</v>
      </c>
      <c r="F42" s="48">
        <v>6.5</v>
      </c>
      <c r="G42" s="49">
        <v>1977</v>
      </c>
      <c r="H42" s="49">
        <v>2011</v>
      </c>
      <c r="I42" s="50">
        <v>69.32</v>
      </c>
      <c r="J42" s="15">
        <v>45.02</v>
      </c>
      <c r="K42" s="34"/>
      <c r="L42" s="15">
        <f t="shared" si="0"/>
        <v>24.29999999999999</v>
      </c>
      <c r="M42" s="35"/>
      <c r="N42" s="141">
        <f t="shared" si="1"/>
        <v>339.92</v>
      </c>
    </row>
    <row r="43" spans="1:14" ht="12.75">
      <c r="A43" s="140">
        <v>630827</v>
      </c>
      <c r="B43" s="46" t="s">
        <v>20</v>
      </c>
      <c r="C43" s="46" t="s">
        <v>33</v>
      </c>
      <c r="D43" s="47">
        <v>1420.74</v>
      </c>
      <c r="E43" s="77">
        <f>'2004'!N41</f>
        <v>176.55</v>
      </c>
      <c r="F43" s="48">
        <v>5</v>
      </c>
      <c r="G43" s="49">
        <v>1972</v>
      </c>
      <c r="H43" s="49">
        <v>2006</v>
      </c>
      <c r="I43" s="50">
        <v>93.76</v>
      </c>
      <c r="J43" s="15">
        <v>86.1</v>
      </c>
      <c r="K43" s="34"/>
      <c r="L43" s="15">
        <f t="shared" si="0"/>
        <v>7.660000000000011</v>
      </c>
      <c r="M43" s="35"/>
      <c r="N43" s="141">
        <f t="shared" si="1"/>
        <v>90.45000000000002</v>
      </c>
    </row>
    <row r="44" spans="1:14" ht="13.5" thickBot="1">
      <c r="A44" s="143">
        <v>619296</v>
      </c>
      <c r="B44" s="82" t="s">
        <v>20</v>
      </c>
      <c r="C44" s="82" t="s">
        <v>33</v>
      </c>
      <c r="D44" s="83">
        <v>710.37</v>
      </c>
      <c r="E44" s="84">
        <f>'2004'!N42</f>
        <v>88.25999999999999</v>
      </c>
      <c r="F44" s="85">
        <v>5</v>
      </c>
      <c r="G44" s="86">
        <v>1972</v>
      </c>
      <c r="H44" s="119">
        <v>2006</v>
      </c>
      <c r="I44" s="89">
        <v>46.9</v>
      </c>
      <c r="J44" s="90">
        <v>43.06</v>
      </c>
      <c r="K44" s="34"/>
      <c r="L44" s="90">
        <f t="shared" si="0"/>
        <v>3.8399999999999963</v>
      </c>
      <c r="M44" s="35"/>
      <c r="N44" s="144">
        <f t="shared" si="1"/>
        <v>45.19999999999999</v>
      </c>
    </row>
    <row r="45" spans="1:14" ht="13.5" thickBot="1">
      <c r="A45" s="145"/>
      <c r="B45" s="98"/>
      <c r="C45" s="98"/>
      <c r="D45" s="99"/>
      <c r="E45" s="100" t="s">
        <v>42</v>
      </c>
      <c r="F45" s="101"/>
      <c r="G45" s="102"/>
      <c r="H45" s="103" t="s">
        <v>43</v>
      </c>
      <c r="I45" s="104">
        <f>SUM(I33:I44)</f>
        <v>29468.26</v>
      </c>
      <c r="J45" s="100">
        <f>SUM(J33:J44)</f>
        <v>16311.700000000003</v>
      </c>
      <c r="K45" s="107"/>
      <c r="L45" s="106">
        <f t="shared" si="0"/>
        <v>13156.559999999996</v>
      </c>
      <c r="M45" s="107"/>
      <c r="N45" s="146">
        <f>SUM(N33:N44)</f>
        <v>190165.95000000004</v>
      </c>
    </row>
    <row r="46" spans="1:14" ht="12.75">
      <c r="A46" s="147">
        <v>4444717</v>
      </c>
      <c r="B46" s="91" t="s">
        <v>20</v>
      </c>
      <c r="C46" s="91" t="s">
        <v>38</v>
      </c>
      <c r="D46" s="92">
        <v>98000</v>
      </c>
      <c r="E46" s="76">
        <f>'2004'!N44</f>
        <v>94975.06</v>
      </c>
      <c r="F46" s="93">
        <v>4.75</v>
      </c>
      <c r="G46" s="94">
        <v>2004</v>
      </c>
      <c r="H46" s="94">
        <v>2023</v>
      </c>
      <c r="I46" s="95">
        <v>7644.44</v>
      </c>
      <c r="J46" s="109">
        <v>3170.32</v>
      </c>
      <c r="K46" s="34"/>
      <c r="L46" s="109">
        <f t="shared" si="0"/>
        <v>4474.119999999999</v>
      </c>
      <c r="M46" s="35"/>
      <c r="N46" s="148">
        <f t="shared" si="1"/>
        <v>91804.73999999999</v>
      </c>
    </row>
    <row r="47" spans="1:14" ht="12.75">
      <c r="A47" s="140">
        <v>4388738</v>
      </c>
      <c r="B47" s="46" t="s">
        <v>20</v>
      </c>
      <c r="C47" s="46" t="s">
        <v>38</v>
      </c>
      <c r="D47" s="47">
        <v>103291.38</v>
      </c>
      <c r="E47" s="77">
        <f>'2004'!N45</f>
        <v>93975.15000000001</v>
      </c>
      <c r="F47" s="48">
        <v>5.5</v>
      </c>
      <c r="G47" s="49">
        <v>2002</v>
      </c>
      <c r="H47" s="49">
        <v>2021</v>
      </c>
      <c r="I47" s="50">
        <v>8579.7</v>
      </c>
      <c r="J47" s="15">
        <v>3457.96</v>
      </c>
      <c r="K47" s="34"/>
      <c r="L47" s="15">
        <f t="shared" si="0"/>
        <v>5121.740000000001</v>
      </c>
      <c r="M47" s="35"/>
      <c r="N47" s="141">
        <f t="shared" si="1"/>
        <v>90517.19</v>
      </c>
    </row>
    <row r="48" spans="1:14" ht="12.75">
      <c r="A48" s="140">
        <v>4363583</v>
      </c>
      <c r="B48" s="46" t="s">
        <v>20</v>
      </c>
      <c r="C48" s="46" t="s">
        <v>38</v>
      </c>
      <c r="D48" s="47">
        <v>49982.94</v>
      </c>
      <c r="E48" s="77">
        <f>'2004'!N46</f>
        <v>43857.8</v>
      </c>
      <c r="F48" s="48">
        <v>5.75</v>
      </c>
      <c r="G48" s="49">
        <v>2001</v>
      </c>
      <c r="H48" s="49">
        <v>2020</v>
      </c>
      <c r="I48" s="50">
        <v>4229.3</v>
      </c>
      <c r="J48" s="15">
        <v>1732.01</v>
      </c>
      <c r="K48" s="34">
        <v>3030</v>
      </c>
      <c r="L48" s="15">
        <f t="shared" si="0"/>
        <v>2497.29</v>
      </c>
      <c r="M48" s="35">
        <v>910</v>
      </c>
      <c r="N48" s="141">
        <f t="shared" si="1"/>
        <v>42125.79</v>
      </c>
    </row>
    <row r="49" spans="1:14" ht="12.75">
      <c r="A49" s="140">
        <v>4317938</v>
      </c>
      <c r="B49" s="46" t="s">
        <v>20</v>
      </c>
      <c r="C49" s="46" t="s">
        <v>38</v>
      </c>
      <c r="D49" s="47">
        <v>50396.44</v>
      </c>
      <c r="E49" s="77">
        <f>'2004'!N47</f>
        <v>39651.880000000005</v>
      </c>
      <c r="F49" s="48">
        <v>6.5</v>
      </c>
      <c r="G49" s="49">
        <v>1998</v>
      </c>
      <c r="H49" s="49">
        <v>2017</v>
      </c>
      <c r="I49" s="50">
        <v>4564.72</v>
      </c>
      <c r="J49" s="15">
        <v>2019.63</v>
      </c>
      <c r="K49" s="34" t="s">
        <v>42</v>
      </c>
      <c r="L49" s="15">
        <f t="shared" si="0"/>
        <v>2545.09</v>
      </c>
      <c r="M49" s="35" t="s">
        <v>42</v>
      </c>
      <c r="N49" s="141">
        <f t="shared" si="1"/>
        <v>37632.25000000001</v>
      </c>
    </row>
    <row r="50" spans="1:14" ht="13.5" thickBot="1">
      <c r="A50" s="143">
        <v>3220585</v>
      </c>
      <c r="B50" s="82" t="s">
        <v>20</v>
      </c>
      <c r="C50" s="82" t="s">
        <v>38</v>
      </c>
      <c r="D50" s="83">
        <v>77468.53</v>
      </c>
      <c r="E50" s="84">
        <f>'2004'!N48</f>
        <v>7872.65</v>
      </c>
      <c r="F50" s="85">
        <v>6.5</v>
      </c>
      <c r="G50" s="86">
        <v>1986</v>
      </c>
      <c r="H50" s="88">
        <v>2005</v>
      </c>
      <c r="I50" s="89">
        <v>8258.5</v>
      </c>
      <c r="J50" s="90">
        <v>7872.65</v>
      </c>
      <c r="K50" s="34" t="s">
        <v>42</v>
      </c>
      <c r="L50" s="90">
        <f t="shared" si="0"/>
        <v>385.85000000000036</v>
      </c>
      <c r="M50" s="35" t="s">
        <v>42</v>
      </c>
      <c r="N50" s="144">
        <f t="shared" si="1"/>
        <v>0</v>
      </c>
    </row>
    <row r="51" spans="1:14" ht="13.5" thickBot="1">
      <c r="A51" s="152"/>
      <c r="B51" s="98"/>
      <c r="C51" s="98"/>
      <c r="D51" s="99"/>
      <c r="E51" s="100" t="s">
        <v>42</v>
      </c>
      <c r="F51" s="101"/>
      <c r="G51" s="102"/>
      <c r="H51" s="103" t="s">
        <v>43</v>
      </c>
      <c r="I51" s="104">
        <f>SUM(I46:I50)</f>
        <v>33276.66</v>
      </c>
      <c r="J51" s="100">
        <f>SUM(J46:J50)</f>
        <v>18252.57</v>
      </c>
      <c r="K51" s="107"/>
      <c r="L51" s="100">
        <f t="shared" si="0"/>
        <v>15024.090000000004</v>
      </c>
      <c r="M51" s="107"/>
      <c r="N51" s="146">
        <f>SUM(N46:N50)</f>
        <v>262079.97</v>
      </c>
    </row>
    <row r="52" spans="1:14" ht="12.75">
      <c r="A52" s="147">
        <v>4284047</v>
      </c>
      <c r="B52" s="91" t="s">
        <v>20</v>
      </c>
      <c r="C52" s="91" t="s">
        <v>39</v>
      </c>
      <c r="D52" s="92">
        <v>77468.53</v>
      </c>
      <c r="E52" s="76">
        <f>'2004'!N51</f>
        <v>58797.62</v>
      </c>
      <c r="F52" s="93">
        <v>6.5</v>
      </c>
      <c r="G52" s="94">
        <v>1997</v>
      </c>
      <c r="H52" s="94">
        <v>2016</v>
      </c>
      <c r="I52" s="95">
        <v>7132.02</v>
      </c>
      <c r="J52" s="109">
        <v>3363.97</v>
      </c>
      <c r="K52" s="34"/>
      <c r="L52" s="109">
        <f t="shared" si="0"/>
        <v>3768.0500000000006</v>
      </c>
      <c r="M52" s="35"/>
      <c r="N52" s="148">
        <f t="shared" si="1"/>
        <v>55433.65</v>
      </c>
    </row>
    <row r="53" spans="1:14" ht="12.75">
      <c r="A53" s="140">
        <v>649423</v>
      </c>
      <c r="B53" s="46" t="s">
        <v>20</v>
      </c>
      <c r="C53" s="46" t="s">
        <v>39</v>
      </c>
      <c r="D53" s="47">
        <v>897.55</v>
      </c>
      <c r="E53" s="77">
        <f>'2004'!N52</f>
        <v>210.92999999999998</v>
      </c>
      <c r="F53" s="48">
        <v>5</v>
      </c>
      <c r="G53" s="49">
        <v>1973</v>
      </c>
      <c r="H53" s="49">
        <v>2008</v>
      </c>
      <c r="I53" s="50">
        <v>58.74</v>
      </c>
      <c r="J53" s="15">
        <v>48.94</v>
      </c>
      <c r="K53" s="34">
        <v>3030</v>
      </c>
      <c r="L53" s="15">
        <f t="shared" si="0"/>
        <v>9.800000000000004</v>
      </c>
      <c r="M53" s="35">
        <v>930</v>
      </c>
      <c r="N53" s="141">
        <f t="shared" si="1"/>
        <v>161.98999999999998</v>
      </c>
    </row>
    <row r="54" spans="1:14" ht="13.5" thickBot="1">
      <c r="A54" s="143">
        <v>621411</v>
      </c>
      <c r="B54" s="82" t="s">
        <v>20</v>
      </c>
      <c r="C54" s="82" t="s">
        <v>39</v>
      </c>
      <c r="D54" s="83">
        <v>1975.1</v>
      </c>
      <c r="E54" s="84">
        <f>'2004'!N53</f>
        <v>223.06</v>
      </c>
      <c r="F54" s="85">
        <v>5</v>
      </c>
      <c r="G54" s="86">
        <v>1972</v>
      </c>
      <c r="H54" s="119">
        <v>2006</v>
      </c>
      <c r="I54" s="89">
        <v>118.48</v>
      </c>
      <c r="J54" s="90">
        <v>108.8</v>
      </c>
      <c r="K54" s="34"/>
      <c r="L54" s="90">
        <f t="shared" si="0"/>
        <v>9.680000000000007</v>
      </c>
      <c r="M54" s="35"/>
      <c r="N54" s="144">
        <f t="shared" si="1"/>
        <v>114.26</v>
      </c>
    </row>
    <row r="55" spans="1:14" ht="13.5" thickBot="1">
      <c r="A55" s="145"/>
      <c r="B55" s="98"/>
      <c r="C55" s="98"/>
      <c r="D55" s="99"/>
      <c r="E55" s="100" t="s">
        <v>42</v>
      </c>
      <c r="F55" s="101"/>
      <c r="G55" s="102"/>
      <c r="H55" s="103" t="s">
        <v>43</v>
      </c>
      <c r="I55" s="104">
        <f>SUM(I52:I54)</f>
        <v>7309.24</v>
      </c>
      <c r="J55" s="100">
        <f>SUM(J52:J54)</f>
        <v>3521.71</v>
      </c>
      <c r="K55" s="107"/>
      <c r="L55" s="106">
        <f t="shared" si="0"/>
        <v>3787.5299999999997</v>
      </c>
      <c r="M55" s="107"/>
      <c r="N55" s="146">
        <f>SUM(N52:N54)</f>
        <v>55709.9</v>
      </c>
    </row>
    <row r="56" spans="1:14" ht="13.5" thickBot="1">
      <c r="A56" s="153">
        <v>38497</v>
      </c>
      <c r="B56" s="120" t="s">
        <v>40</v>
      </c>
      <c r="C56" s="120" t="s">
        <v>61</v>
      </c>
      <c r="D56" s="121">
        <v>130481.69</v>
      </c>
      <c r="E56" s="113">
        <f>'2004'!N55</f>
        <v>98880.97</v>
      </c>
      <c r="F56" s="122">
        <v>6</v>
      </c>
      <c r="G56" s="123">
        <v>2002</v>
      </c>
      <c r="H56" s="123">
        <v>2014</v>
      </c>
      <c r="I56" s="124">
        <v>13239.06</v>
      </c>
      <c r="J56" s="118">
        <v>7501.9</v>
      </c>
      <c r="K56" s="34">
        <v>3040</v>
      </c>
      <c r="L56" s="118">
        <f t="shared" si="0"/>
        <v>5737.16</v>
      </c>
      <c r="M56" s="66">
        <v>950</v>
      </c>
      <c r="N56" s="150">
        <f t="shared" si="1"/>
        <v>91379.07</v>
      </c>
    </row>
    <row r="57" spans="1:14" ht="13.5" thickBot="1">
      <c r="A57" s="145"/>
      <c r="B57" s="98"/>
      <c r="C57" s="98"/>
      <c r="D57" s="99"/>
      <c r="E57" s="100" t="s">
        <v>42</v>
      </c>
      <c r="F57" s="101"/>
      <c r="G57" s="102"/>
      <c r="H57" s="125" t="s">
        <v>43</v>
      </c>
      <c r="I57" s="104">
        <f>SUM(I56)</f>
        <v>13239.06</v>
      </c>
      <c r="J57" s="106">
        <f>SUM(J56)</f>
        <v>7501.9</v>
      </c>
      <c r="K57" s="107"/>
      <c r="L57" s="106">
        <f t="shared" si="0"/>
        <v>5737.16</v>
      </c>
      <c r="M57" s="107"/>
      <c r="N57" s="146">
        <f>SUM(N56)</f>
        <v>91379.07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09">
        <f t="shared" si="0"/>
        <v>0</v>
      </c>
      <c r="M58" s="66"/>
      <c r="N58" s="148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41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41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41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41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41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41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41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41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41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aca="true" t="shared" si="2" ref="L68:L86">I68-J68</f>
        <v>0</v>
      </c>
      <c r="M68" s="27"/>
      <c r="N68" s="141">
        <f aca="true" t="shared" si="3" ref="N68:N86">E68-J68</f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41">
        <f t="shared" si="3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41">
        <f t="shared" si="3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41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41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41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41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41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41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41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41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41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41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41">
        <f t="shared" si="3"/>
        <v>0</v>
      </c>
    </row>
    <row r="82" spans="1:14" ht="13.5" hidden="1" thickBot="1">
      <c r="A82" s="154"/>
      <c r="B82" s="12"/>
      <c r="C82" s="12"/>
      <c r="D82" s="3"/>
      <c r="E82" s="4"/>
      <c r="F82" s="13"/>
      <c r="G82" s="25"/>
      <c r="H82" s="25"/>
      <c r="I82" s="5"/>
      <c r="J82" s="4"/>
      <c r="K82" s="14"/>
      <c r="L82" s="15">
        <f t="shared" si="2"/>
        <v>0</v>
      </c>
      <c r="M82" s="27"/>
      <c r="N82" s="141">
        <f t="shared" si="3"/>
        <v>0</v>
      </c>
    </row>
    <row r="83" spans="1:14" ht="13.5" hidden="1" thickBot="1">
      <c r="A83" s="154"/>
      <c r="B83" s="12"/>
      <c r="C83" s="12"/>
      <c r="D83" s="3"/>
      <c r="E83" s="4"/>
      <c r="F83" s="13"/>
      <c r="G83" s="25"/>
      <c r="H83" s="25"/>
      <c r="I83" s="5"/>
      <c r="J83" s="4"/>
      <c r="K83" s="14"/>
      <c r="L83" s="15">
        <f t="shared" si="2"/>
        <v>0</v>
      </c>
      <c r="M83" s="27"/>
      <c r="N83" s="141">
        <f t="shared" si="3"/>
        <v>0</v>
      </c>
    </row>
    <row r="84" spans="1:14" ht="13.5" hidden="1" thickBot="1">
      <c r="A84" s="154"/>
      <c r="B84" s="12"/>
      <c r="C84" s="12"/>
      <c r="D84" s="3"/>
      <c r="E84" s="4"/>
      <c r="F84" s="13"/>
      <c r="G84" s="25"/>
      <c r="H84" s="25"/>
      <c r="I84" s="5"/>
      <c r="J84" s="4"/>
      <c r="K84" s="14"/>
      <c r="L84" s="15">
        <f t="shared" si="2"/>
        <v>0</v>
      </c>
      <c r="M84" s="27"/>
      <c r="N84" s="141">
        <f t="shared" si="3"/>
        <v>0</v>
      </c>
    </row>
    <row r="85" spans="1:14" ht="13.5" hidden="1" thickBot="1">
      <c r="A85" s="154"/>
      <c r="B85" s="12"/>
      <c r="C85" s="12"/>
      <c r="D85" s="3"/>
      <c r="E85" s="4"/>
      <c r="F85" s="13"/>
      <c r="G85" s="25"/>
      <c r="H85" s="25"/>
      <c r="I85" s="5"/>
      <c r="J85" s="4"/>
      <c r="K85" s="14"/>
      <c r="L85" s="15">
        <f t="shared" si="2"/>
        <v>0</v>
      </c>
      <c r="M85" s="27"/>
      <c r="N85" s="141">
        <f t="shared" si="3"/>
        <v>0</v>
      </c>
    </row>
    <row r="86" spans="1:14" ht="13.5" hidden="1" thickBot="1">
      <c r="A86" s="155"/>
      <c r="B86" s="111"/>
      <c r="C86" s="111"/>
      <c r="D86" s="112"/>
      <c r="E86" s="126"/>
      <c r="F86" s="114"/>
      <c r="G86" s="115"/>
      <c r="H86" s="115"/>
      <c r="I86" s="116"/>
      <c r="J86" s="126"/>
      <c r="K86" s="127"/>
      <c r="L86" s="90">
        <f t="shared" si="2"/>
        <v>0</v>
      </c>
      <c r="M86" s="27"/>
      <c r="N86" s="144">
        <f t="shared" si="3"/>
        <v>0</v>
      </c>
    </row>
    <row r="87" spans="1:14" ht="14.25" thickBot="1" thickTop="1">
      <c r="A87" s="128"/>
      <c r="B87" s="129"/>
      <c r="C87" s="130" t="s">
        <v>8</v>
      </c>
      <c r="D87" s="131">
        <f>SUM(D3:D86)</f>
        <v>3138763.839999999</v>
      </c>
      <c r="E87" s="132">
        <f>SUM(E3:E86)</f>
        <v>2418826.8700000006</v>
      </c>
      <c r="F87" s="133"/>
      <c r="G87" s="133"/>
      <c r="H87" s="133"/>
      <c r="I87" s="134">
        <f>+I13+I19+I21+I32+I45+I51+I55+I57</f>
        <v>274809.66000000003</v>
      </c>
      <c r="J87" s="134">
        <f>+J13+J19+J21+J32+J45+J51+J55+J57</f>
        <v>143780.02</v>
      </c>
      <c r="K87" s="133"/>
      <c r="L87" s="134">
        <f>+L13+L19+L21+L32+L45+L51+L55+L57</f>
        <v>131029.63999999998</v>
      </c>
      <c r="M87" s="135"/>
      <c r="N87" s="136">
        <f>+N13+N19+N21+N32+N45+N51+N55+N57</f>
        <v>2275046.8499999996</v>
      </c>
    </row>
    <row r="88" ht="13.5" thickTop="1"/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PageLayoutView="0" workbookViewId="0" topLeftCell="A1">
      <selection activeCell="N82" sqref="N82"/>
    </sheetView>
  </sheetViews>
  <sheetFormatPr defaultColWidth="9.140625" defaultRowHeight="12.75"/>
  <cols>
    <col min="1" max="1" width="10.7109375" style="174" customWidth="1"/>
    <col min="2" max="2" width="13.57421875" style="174" customWidth="1"/>
    <col min="3" max="3" width="53.421875" style="174" customWidth="1"/>
    <col min="4" max="5" width="12.00390625" style="174" customWidth="1"/>
    <col min="6" max="8" width="9.140625" style="174" customWidth="1"/>
    <col min="9" max="9" width="10.7109375" style="174" customWidth="1"/>
    <col min="10" max="10" width="11.8515625" style="174" customWidth="1"/>
    <col min="11" max="11" width="9.140625" style="174" customWidth="1"/>
    <col min="12" max="12" width="10.7109375" style="24" customWidth="1"/>
    <col min="13" max="13" width="9.140625" style="24" customWidth="1"/>
    <col min="14" max="14" width="12.00390625" style="752" customWidth="1"/>
    <col min="15" max="15" width="2.00390625" style="174" customWidth="1"/>
    <col min="16" max="16" width="9.140625" style="772" customWidth="1"/>
    <col min="17" max="17" width="10.00390625" style="772" customWidth="1"/>
    <col min="18" max="16384" width="9.140625" style="174" customWidth="1"/>
  </cols>
  <sheetData>
    <row r="1" spans="1:17" ht="24.75" customHeight="1" thickBot="1">
      <c r="A1" s="954" t="s">
        <v>182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P1" s="770"/>
      <c r="Q1" s="770"/>
    </row>
    <row r="2" spans="1:17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183</v>
      </c>
      <c r="F2" s="138" t="s">
        <v>3</v>
      </c>
      <c r="G2" s="138" t="s">
        <v>4</v>
      </c>
      <c r="H2" s="138" t="s">
        <v>5</v>
      </c>
      <c r="I2" s="138" t="s">
        <v>184</v>
      </c>
      <c r="J2" s="138" t="s">
        <v>185</v>
      </c>
      <c r="K2" s="138" t="s">
        <v>6</v>
      </c>
      <c r="L2" s="138" t="s">
        <v>186</v>
      </c>
      <c r="M2" s="138" t="s">
        <v>6</v>
      </c>
      <c r="N2" s="139" t="s">
        <v>187</v>
      </c>
      <c r="P2" s="770"/>
      <c r="Q2" s="770"/>
    </row>
    <row r="3" spans="1:17" ht="12.75">
      <c r="A3" s="665" t="s">
        <v>203</v>
      </c>
      <c r="B3" s="803" t="s">
        <v>181</v>
      </c>
      <c r="C3" s="655" t="s">
        <v>15</v>
      </c>
      <c r="D3" s="656">
        <v>413165</v>
      </c>
      <c r="E3" s="657">
        <f>'2022'!N3</f>
        <v>59555.20000000001</v>
      </c>
      <c r="F3" s="658">
        <v>0.97</v>
      </c>
      <c r="G3" s="659">
        <v>2004</v>
      </c>
      <c r="H3" s="860">
        <v>2024</v>
      </c>
      <c r="I3" s="660">
        <v>28549.8</v>
      </c>
      <c r="J3" s="661">
        <v>28529.05</v>
      </c>
      <c r="K3" s="956">
        <v>3030</v>
      </c>
      <c r="L3" s="672">
        <f aca="true" t="shared" si="0" ref="L3:L9">I3-J3</f>
        <v>20.75</v>
      </c>
      <c r="M3" s="961">
        <v>283</v>
      </c>
      <c r="N3" s="910">
        <f>E3-J3</f>
        <v>31026.150000000012</v>
      </c>
      <c r="O3" s="663"/>
      <c r="P3" s="770"/>
      <c r="Q3" s="770"/>
    </row>
    <row r="4" spans="1:17" ht="12" customHeight="1" hidden="1">
      <c r="A4" s="654">
        <v>4403430</v>
      </c>
      <c r="B4" s="803" t="s">
        <v>181</v>
      </c>
      <c r="C4" s="655" t="s">
        <v>15</v>
      </c>
      <c r="D4" s="656">
        <v>154937.07</v>
      </c>
      <c r="E4" s="657">
        <f>'2022'!N4</f>
        <v>0</v>
      </c>
      <c r="F4" s="658">
        <v>5.25</v>
      </c>
      <c r="G4" s="659">
        <v>2002.2021</v>
      </c>
      <c r="H4" s="860">
        <v>2022</v>
      </c>
      <c r="I4" s="660"/>
      <c r="J4" s="661"/>
      <c r="K4" s="957"/>
      <c r="L4" s="672">
        <f t="shared" si="0"/>
        <v>0</v>
      </c>
      <c r="M4" s="962"/>
      <c r="N4" s="664">
        <f aca="true" t="shared" si="1" ref="N4:N72">E4-J4</f>
        <v>0</v>
      </c>
      <c r="P4" s="770"/>
      <c r="Q4" s="770"/>
    </row>
    <row r="5" spans="1:17" ht="12" customHeight="1" hidden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'2022'!N5</f>
        <v>0</v>
      </c>
      <c r="F5" s="658">
        <v>5.75</v>
      </c>
      <c r="G5" s="659">
        <v>2001</v>
      </c>
      <c r="H5" s="774">
        <v>2020</v>
      </c>
      <c r="I5" s="660"/>
      <c r="J5" s="661"/>
      <c r="K5" s="957"/>
      <c r="L5" s="672">
        <f t="shared" si="0"/>
        <v>0</v>
      </c>
      <c r="M5" s="962"/>
      <c r="N5" s="664">
        <f t="shared" si="1"/>
        <v>0</v>
      </c>
      <c r="P5" s="770"/>
      <c r="Q5" s="770"/>
    </row>
    <row r="6" spans="1:17" ht="12.75" customHeight="1" hidden="1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'2022'!N6</f>
        <v>0</v>
      </c>
      <c r="F6" s="658">
        <v>5.75</v>
      </c>
      <c r="G6" s="659">
        <v>2001</v>
      </c>
      <c r="H6" s="774">
        <v>2020</v>
      </c>
      <c r="I6" s="660"/>
      <c r="J6" s="661"/>
      <c r="K6" s="957"/>
      <c r="L6" s="672">
        <f t="shared" si="0"/>
        <v>0</v>
      </c>
      <c r="M6" s="962"/>
      <c r="N6" s="664">
        <f t="shared" si="1"/>
        <v>0</v>
      </c>
      <c r="P6" s="770"/>
      <c r="Q6" s="770"/>
    </row>
    <row r="7" spans="1:17" ht="12.75" customHeight="1" hidden="1">
      <c r="A7" s="654">
        <v>4354048</v>
      </c>
      <c r="B7" s="655" t="s">
        <v>7</v>
      </c>
      <c r="C7" s="655" t="s">
        <v>15</v>
      </c>
      <c r="D7" s="656">
        <v>179245.09</v>
      </c>
      <c r="E7" s="657">
        <f>'2022'!N7</f>
        <v>0</v>
      </c>
      <c r="F7" s="658">
        <v>0</v>
      </c>
      <c r="G7" s="659">
        <v>2000</v>
      </c>
      <c r="H7" s="659">
        <v>2019</v>
      </c>
      <c r="I7" s="660"/>
      <c r="J7" s="661"/>
      <c r="K7" s="957"/>
      <c r="L7" s="672">
        <f t="shared" si="0"/>
        <v>0</v>
      </c>
      <c r="M7" s="962"/>
      <c r="N7" s="664">
        <f t="shared" si="1"/>
        <v>0</v>
      </c>
      <c r="P7" s="770"/>
      <c r="Q7" s="770"/>
    </row>
    <row r="8" spans="1:17" ht="12.75" customHeight="1" hidden="1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'2022'!N8</f>
        <v>0</v>
      </c>
      <c r="F8" s="658">
        <v>6.5</v>
      </c>
      <c r="G8" s="659">
        <v>1998</v>
      </c>
      <c r="H8" s="659">
        <v>2017</v>
      </c>
      <c r="I8" s="660"/>
      <c r="J8" s="661"/>
      <c r="K8" s="957"/>
      <c r="L8" s="672">
        <f t="shared" si="0"/>
        <v>0</v>
      </c>
      <c r="M8" s="962"/>
      <c r="N8" s="664">
        <f t="shared" si="1"/>
        <v>0</v>
      </c>
      <c r="P8" s="770"/>
      <c r="Q8" s="770"/>
    </row>
    <row r="9" spans="1:17" ht="12.75" customHeight="1" hidden="1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'2022'!N9</f>
        <v>0</v>
      </c>
      <c r="F9" s="658">
        <v>6.5</v>
      </c>
      <c r="G9" s="659">
        <v>1998</v>
      </c>
      <c r="H9" s="659">
        <v>2017</v>
      </c>
      <c r="I9" s="660"/>
      <c r="J9" s="661"/>
      <c r="K9" s="957"/>
      <c r="L9" s="672">
        <f t="shared" si="0"/>
        <v>0</v>
      </c>
      <c r="M9" s="962"/>
      <c r="N9" s="664">
        <f>E9-J9</f>
        <v>0</v>
      </c>
      <c r="P9" s="770"/>
      <c r="Q9" s="770"/>
    </row>
    <row r="10" spans="1:17" ht="12.75">
      <c r="A10" s="717" t="s">
        <v>77</v>
      </c>
      <c r="B10" s="667" t="s">
        <v>7</v>
      </c>
      <c r="C10" s="667" t="s">
        <v>72</v>
      </c>
      <c r="D10" s="668">
        <v>80000</v>
      </c>
      <c r="E10" s="657">
        <f>'2022'!N10</f>
        <v>16080.449999999999</v>
      </c>
      <c r="F10" s="669">
        <v>3.72</v>
      </c>
      <c r="G10" s="670">
        <v>2006</v>
      </c>
      <c r="H10" s="670">
        <v>2025</v>
      </c>
      <c r="I10" s="671">
        <v>5716.4</v>
      </c>
      <c r="J10" s="672">
        <v>5162.81</v>
      </c>
      <c r="K10" s="957"/>
      <c r="L10" s="672">
        <f>I10-J10</f>
        <v>553.5899999999992</v>
      </c>
      <c r="M10" s="962"/>
      <c r="N10" s="664">
        <f>E10-J10</f>
        <v>10917.64</v>
      </c>
      <c r="P10" s="770"/>
      <c r="Q10" s="770"/>
    </row>
    <row r="11" spans="1:17" s="673" customFormat="1" ht="13.5" thickBot="1">
      <c r="A11" s="665" t="s">
        <v>102</v>
      </c>
      <c r="B11" s="655" t="s">
        <v>20</v>
      </c>
      <c r="C11" s="655" t="s">
        <v>92</v>
      </c>
      <c r="D11" s="656">
        <v>60000</v>
      </c>
      <c r="E11" s="657">
        <f>'2022'!N11</f>
        <v>27470.289999999994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3403.45</v>
      </c>
      <c r="K11" s="958"/>
      <c r="L11" s="672">
        <f>I11-J11</f>
        <v>1240.6500000000005</v>
      </c>
      <c r="M11" s="963"/>
      <c r="N11" s="664">
        <f>E11-J11</f>
        <v>24066.839999999993</v>
      </c>
      <c r="P11" s="771"/>
      <c r="Q11" s="771"/>
    </row>
    <row r="12" spans="1:14" ht="13.5" thickBot="1">
      <c r="A12" s="674"/>
      <c r="B12" s="675"/>
      <c r="C12" s="675"/>
      <c r="D12" s="676"/>
      <c r="E12" s="682" t="s">
        <v>42</v>
      </c>
      <c r="F12" s="678"/>
      <c r="G12" s="679"/>
      <c r="H12" s="680" t="s">
        <v>43</v>
      </c>
      <c r="I12" s="681">
        <f>SUM(I3:I11)</f>
        <v>38910.299999999996</v>
      </c>
      <c r="J12" s="682">
        <f>SUM(J3:J11)</f>
        <v>37095.31</v>
      </c>
      <c r="K12" s="683"/>
      <c r="L12" s="684">
        <f aca="true" t="shared" si="2" ref="L12:L72">I12-J12</f>
        <v>1814.989999999998</v>
      </c>
      <c r="M12" s="685"/>
      <c r="N12" s="686">
        <f>SUM(N3:N11)</f>
        <v>66010.63</v>
      </c>
    </row>
    <row r="13" spans="1:14" ht="12.75" hidden="1">
      <c r="A13" s="687">
        <v>4367661</v>
      </c>
      <c r="B13" s="688" t="s">
        <v>20</v>
      </c>
      <c r="C13" s="688" t="s">
        <v>21</v>
      </c>
      <c r="D13" s="689">
        <v>51645.69</v>
      </c>
      <c r="E13" s="726">
        <f>'2022'!N13</f>
        <v>0</v>
      </c>
      <c r="F13" s="691">
        <v>5.75</v>
      </c>
      <c r="G13" s="692">
        <v>2001</v>
      </c>
      <c r="H13" s="775">
        <v>2020</v>
      </c>
      <c r="I13" s="693"/>
      <c r="J13" s="694"/>
      <c r="K13" s="959">
        <v>3030</v>
      </c>
      <c r="L13" s="695">
        <f t="shared" si="2"/>
        <v>0</v>
      </c>
      <c r="M13" s="959">
        <v>518</v>
      </c>
      <c r="N13" s="696">
        <f t="shared" si="1"/>
        <v>0</v>
      </c>
    </row>
    <row r="14" spans="1:14" ht="12.75" hidden="1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'2022'!N14</f>
        <v>0</v>
      </c>
      <c r="F14" s="658">
        <v>5.75</v>
      </c>
      <c r="G14" s="659">
        <v>2001</v>
      </c>
      <c r="H14" s="774">
        <v>2020</v>
      </c>
      <c r="I14" s="660"/>
      <c r="J14" s="697"/>
      <c r="K14" s="957"/>
      <c r="L14" s="698">
        <f t="shared" si="2"/>
        <v>0</v>
      </c>
      <c r="M14" s="957"/>
      <c r="N14" s="664">
        <f t="shared" si="1"/>
        <v>0</v>
      </c>
    </row>
    <row r="15" spans="1:14" ht="12.75" customHeight="1" hidden="1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'2022'!N15</f>
        <v>0</v>
      </c>
      <c r="F15" s="658">
        <v>4.85</v>
      </c>
      <c r="G15" s="659">
        <v>1999</v>
      </c>
      <c r="H15" s="659">
        <v>2018</v>
      </c>
      <c r="I15" s="660"/>
      <c r="J15" s="697"/>
      <c r="K15" s="957"/>
      <c r="L15" s="698">
        <f t="shared" si="2"/>
        <v>0</v>
      </c>
      <c r="M15" s="957"/>
      <c r="N15" s="664">
        <f t="shared" si="1"/>
        <v>0</v>
      </c>
    </row>
    <row r="16" spans="1:17" s="673" customFormat="1" ht="12.75">
      <c r="A16" s="717" t="s">
        <v>197</v>
      </c>
      <c r="B16" s="667" t="s">
        <v>20</v>
      </c>
      <c r="C16" s="667" t="s">
        <v>164</v>
      </c>
      <c r="D16" s="668">
        <v>127500</v>
      </c>
      <c r="E16" s="690">
        <f>'2022'!N16</f>
        <v>77359.65000000001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6560.93</v>
      </c>
      <c r="K16" s="957"/>
      <c r="L16" s="701">
        <f>I16-J16</f>
        <v>4934.83</v>
      </c>
      <c r="M16" s="957"/>
      <c r="N16" s="664">
        <f>E16-J16</f>
        <v>70798.72</v>
      </c>
      <c r="P16" s="771"/>
      <c r="Q16" s="771"/>
    </row>
    <row r="17" spans="1:17" s="673" customFormat="1" ht="13.5" thickBot="1">
      <c r="A17" s="717" t="s">
        <v>196</v>
      </c>
      <c r="B17" s="667" t="s">
        <v>20</v>
      </c>
      <c r="C17" s="667" t="s">
        <v>195</v>
      </c>
      <c r="D17" s="668">
        <v>200000</v>
      </c>
      <c r="E17" s="690">
        <f>'2022'!N17</f>
        <v>181814.95</v>
      </c>
      <c r="F17" s="669">
        <v>1.04</v>
      </c>
      <c r="G17" s="670">
        <v>2021</v>
      </c>
      <c r="H17" s="670">
        <v>2040</v>
      </c>
      <c r="I17" s="671">
        <v>11101.92</v>
      </c>
      <c r="J17" s="700">
        <v>9234.99</v>
      </c>
      <c r="K17" s="957"/>
      <c r="L17" s="701">
        <f>I17-J17</f>
        <v>1866.9300000000003</v>
      </c>
      <c r="M17" s="957"/>
      <c r="N17" s="664">
        <f>E17-J17</f>
        <v>172579.96000000002</v>
      </c>
      <c r="P17" s="771"/>
      <c r="Q17" s="771"/>
    </row>
    <row r="18" spans="1:17" s="829" customFormat="1" ht="13.5" hidden="1" thickBot="1">
      <c r="A18" s="911"/>
      <c r="B18" s="667"/>
      <c r="C18" s="667"/>
      <c r="D18" s="668"/>
      <c r="E18" s="690"/>
      <c r="F18" s="669"/>
      <c r="G18" s="857"/>
      <c r="H18" s="670"/>
      <c r="I18" s="671"/>
      <c r="J18" s="700"/>
      <c r="K18" s="958"/>
      <c r="L18" s="701">
        <f>I18-J18</f>
        <v>0</v>
      </c>
      <c r="M18" s="958"/>
      <c r="N18" s="664">
        <f>E18-J18</f>
        <v>0</v>
      </c>
      <c r="P18" s="770"/>
      <c r="Q18" s="770"/>
    </row>
    <row r="19" spans="1:14" ht="13.5" thickBot="1">
      <c r="A19" s="674"/>
      <c r="B19" s="675"/>
      <c r="C19" s="675"/>
      <c r="D19" s="676"/>
      <c r="E19" s="702" t="s">
        <v>42</v>
      </c>
      <c r="F19" s="678"/>
      <c r="G19" s="679"/>
      <c r="H19" s="680" t="s">
        <v>43</v>
      </c>
      <c r="I19" s="681">
        <f>SUM(I13:I18)</f>
        <v>22597.68</v>
      </c>
      <c r="J19" s="681">
        <f>SUM(J13:J18)</f>
        <v>15795.92</v>
      </c>
      <c r="K19" s="683"/>
      <c r="L19" s="684">
        <f t="shared" si="2"/>
        <v>6801.76</v>
      </c>
      <c r="M19" s="685"/>
      <c r="N19" s="703">
        <f>SUM(N13:N18)</f>
        <v>243378.68000000002</v>
      </c>
    </row>
    <row r="20" spans="1:17" s="673" customFormat="1" ht="12.75">
      <c r="A20" s="938" t="s">
        <v>199</v>
      </c>
      <c r="B20" s="912" t="s">
        <v>20</v>
      </c>
      <c r="C20" s="914" t="s">
        <v>93</v>
      </c>
      <c r="D20" s="915">
        <v>114950</v>
      </c>
      <c r="E20" s="913">
        <f>'2022'!N20</f>
        <v>65561.62</v>
      </c>
      <c r="F20" s="916">
        <v>4.93</v>
      </c>
      <c r="G20" s="917">
        <v>2012</v>
      </c>
      <c r="H20" s="917">
        <v>2031</v>
      </c>
      <c r="I20" s="918">
        <v>9111.38</v>
      </c>
      <c r="J20" s="934">
        <v>5945.8</v>
      </c>
      <c r="K20" s="959">
        <v>3030</v>
      </c>
      <c r="L20" s="934">
        <f>I20-J20</f>
        <v>3165.579999999999</v>
      </c>
      <c r="M20" s="959">
        <v>645</v>
      </c>
      <c r="N20" s="935">
        <f>E20-J20</f>
        <v>59615.81999999999</v>
      </c>
      <c r="P20" s="771"/>
      <c r="Q20" s="771"/>
    </row>
    <row r="21" spans="1:17" s="810" customFormat="1" ht="13.5" thickBot="1">
      <c r="A21" s="926" t="s">
        <v>74</v>
      </c>
      <c r="B21" s="920" t="s">
        <v>204</v>
      </c>
      <c r="C21" s="920" t="s">
        <v>205</v>
      </c>
      <c r="D21" s="779">
        <v>160000</v>
      </c>
      <c r="E21" s="936">
        <v>160000</v>
      </c>
      <c r="F21" s="921">
        <v>3</v>
      </c>
      <c r="G21" s="925">
        <v>2024</v>
      </c>
      <c r="H21" s="919">
        <v>2043</v>
      </c>
      <c r="I21" s="922">
        <v>0</v>
      </c>
      <c r="J21" s="923">
        <v>0</v>
      </c>
      <c r="K21" s="957"/>
      <c r="L21" s="824">
        <f>I21-J21</f>
        <v>0</v>
      </c>
      <c r="M21" s="958"/>
      <c r="N21" s="924">
        <f>E21-J21</f>
        <v>160000</v>
      </c>
      <c r="P21" s="853"/>
      <c r="Q21" s="853"/>
    </row>
    <row r="22" spans="1:14" ht="13.5" thickBot="1">
      <c r="A22" s="674"/>
      <c r="B22" s="675"/>
      <c r="C22" s="675"/>
      <c r="D22" s="676"/>
      <c r="E22" s="682" t="s">
        <v>42</v>
      </c>
      <c r="F22" s="678"/>
      <c r="G22" s="680"/>
      <c r="H22" s="680" t="s">
        <v>43</v>
      </c>
      <c r="I22" s="681">
        <f>SUM(I20:I21)</f>
        <v>9111.38</v>
      </c>
      <c r="J22" s="682">
        <f>SUM(J20:J21)</f>
        <v>5945.8</v>
      </c>
      <c r="K22" s="958"/>
      <c r="L22" s="684">
        <f t="shared" si="2"/>
        <v>3165.579999999999</v>
      </c>
      <c r="M22" s="685"/>
      <c r="N22" s="703">
        <f>SUM(N20:N21)</f>
        <v>219615.82</v>
      </c>
    </row>
    <row r="23" spans="1:14" ht="12.75" hidden="1">
      <c r="A23" s="714" t="s">
        <v>28</v>
      </c>
      <c r="B23" s="688" t="s">
        <v>20</v>
      </c>
      <c r="C23" s="688" t="s">
        <v>29</v>
      </c>
      <c r="D23" s="689">
        <v>17559.53</v>
      </c>
      <c r="E23" s="726">
        <f>'2022'!N22</f>
        <v>0</v>
      </c>
      <c r="F23" s="691">
        <v>5.75</v>
      </c>
      <c r="G23" s="692">
        <v>2001</v>
      </c>
      <c r="H23" s="775">
        <v>2020</v>
      </c>
      <c r="I23" s="693"/>
      <c r="J23" s="715"/>
      <c r="K23" s="35"/>
      <c r="L23" s="715">
        <f t="shared" si="2"/>
        <v>0</v>
      </c>
      <c r="M23" s="35"/>
      <c r="N23" s="716">
        <f t="shared" si="1"/>
        <v>0</v>
      </c>
    </row>
    <row r="24" spans="1:14" ht="12.75" hidden="1">
      <c r="A24" s="654">
        <v>4364549</v>
      </c>
      <c r="B24" s="655" t="s">
        <v>20</v>
      </c>
      <c r="C24" s="655" t="s">
        <v>29</v>
      </c>
      <c r="D24" s="656">
        <v>137377.54</v>
      </c>
      <c r="E24" s="690">
        <f>'2022'!N23</f>
        <v>0</v>
      </c>
      <c r="F24" s="658">
        <v>5.75</v>
      </c>
      <c r="G24" s="659">
        <v>2001</v>
      </c>
      <c r="H24" s="774">
        <v>2020</v>
      </c>
      <c r="I24" s="660"/>
      <c r="J24" s="661"/>
      <c r="K24" s="35"/>
      <c r="L24" s="661">
        <f t="shared" si="2"/>
        <v>0</v>
      </c>
      <c r="M24" s="35"/>
      <c r="N24" s="664">
        <f t="shared" si="1"/>
        <v>0</v>
      </c>
    </row>
    <row r="25" spans="1:14" ht="13.5" customHeight="1">
      <c r="A25" s="717" t="s">
        <v>201</v>
      </c>
      <c r="B25" s="655" t="s">
        <v>20</v>
      </c>
      <c r="C25" s="655" t="s">
        <v>29</v>
      </c>
      <c r="D25" s="668">
        <v>160000</v>
      </c>
      <c r="E25" s="690">
        <f>'2022'!N24</f>
        <v>31380.17</v>
      </c>
      <c r="F25" s="669">
        <v>3.4</v>
      </c>
      <c r="G25" s="670">
        <v>2006</v>
      </c>
      <c r="H25" s="670">
        <v>2025</v>
      </c>
      <c r="I25" s="671">
        <v>11091.2</v>
      </c>
      <c r="J25" s="672">
        <v>10109.47</v>
      </c>
      <c r="K25" s="957">
        <v>3030</v>
      </c>
      <c r="L25" s="672">
        <f t="shared" si="2"/>
        <v>981.7300000000014</v>
      </c>
      <c r="M25" s="35"/>
      <c r="N25" s="664">
        <f t="shared" si="1"/>
        <v>21270.699999999997</v>
      </c>
    </row>
    <row r="26" spans="1:14" ht="12.75">
      <c r="A26" s="717" t="s">
        <v>200</v>
      </c>
      <c r="B26" s="655" t="s">
        <v>20</v>
      </c>
      <c r="C26" s="655" t="s">
        <v>29</v>
      </c>
      <c r="D26" s="668">
        <v>53000</v>
      </c>
      <c r="E26" s="690">
        <f>'2022'!N25</f>
        <v>10394.669999999998</v>
      </c>
      <c r="F26" s="669">
        <v>3.4</v>
      </c>
      <c r="G26" s="670">
        <v>2006</v>
      </c>
      <c r="H26" s="670">
        <v>2026</v>
      </c>
      <c r="I26" s="671">
        <v>3673.96</v>
      </c>
      <c r="J26" s="672">
        <v>3348.76</v>
      </c>
      <c r="K26" s="957"/>
      <c r="L26" s="672">
        <f t="shared" si="2"/>
        <v>325.1999999999998</v>
      </c>
      <c r="M26" s="35"/>
      <c r="N26" s="664">
        <f t="shared" si="1"/>
        <v>7045.909999999998</v>
      </c>
    </row>
    <row r="27" spans="1:14" ht="12.75">
      <c r="A27" s="717" t="s">
        <v>76</v>
      </c>
      <c r="B27" s="655" t="s">
        <v>20</v>
      </c>
      <c r="C27" s="655" t="s">
        <v>73</v>
      </c>
      <c r="D27" s="668">
        <v>100000</v>
      </c>
      <c r="E27" s="690">
        <f>'2022'!N26</f>
        <v>20071.749999999996</v>
      </c>
      <c r="F27" s="669">
        <v>3.72</v>
      </c>
      <c r="G27" s="670">
        <v>2006</v>
      </c>
      <c r="H27" s="670">
        <v>2025</v>
      </c>
      <c r="I27" s="671">
        <v>7132.84</v>
      </c>
      <c r="J27" s="672">
        <v>6445.55</v>
      </c>
      <c r="K27" s="957"/>
      <c r="L27" s="672">
        <f t="shared" si="2"/>
        <v>687.29</v>
      </c>
      <c r="M27" s="35"/>
      <c r="N27" s="664">
        <f t="shared" si="1"/>
        <v>13626.199999999997</v>
      </c>
    </row>
    <row r="28" spans="1:17" s="718" customFormat="1" ht="12.75">
      <c r="A28" s="717" t="s">
        <v>104</v>
      </c>
      <c r="B28" s="655" t="s">
        <v>20</v>
      </c>
      <c r="C28" s="655" t="s">
        <v>78</v>
      </c>
      <c r="D28" s="668">
        <v>120000</v>
      </c>
      <c r="E28" s="690">
        <f>'2022'!N27</f>
        <v>54020.150000000016</v>
      </c>
      <c r="F28" s="669">
        <v>4.32</v>
      </c>
      <c r="G28" s="670">
        <v>2010</v>
      </c>
      <c r="H28" s="670">
        <v>2029</v>
      </c>
      <c r="I28" s="671">
        <v>9027.68</v>
      </c>
      <c r="J28" s="672">
        <v>6762.06</v>
      </c>
      <c r="K28" s="957"/>
      <c r="L28" s="672">
        <f t="shared" si="2"/>
        <v>2265.62</v>
      </c>
      <c r="M28" s="35">
        <v>760</v>
      </c>
      <c r="N28" s="664">
        <f t="shared" si="1"/>
        <v>47258.09000000002</v>
      </c>
      <c r="O28" s="174"/>
      <c r="P28" s="773"/>
      <c r="Q28" s="773"/>
    </row>
    <row r="29" spans="1:17" s="718" customFormat="1" ht="12.75">
      <c r="A29" s="717" t="s">
        <v>103</v>
      </c>
      <c r="B29" s="667" t="s">
        <v>20</v>
      </c>
      <c r="C29" s="719" t="s">
        <v>107</v>
      </c>
      <c r="D29" s="668">
        <v>90000</v>
      </c>
      <c r="E29" s="690">
        <f>'2022'!N28</f>
        <v>40473.34</v>
      </c>
      <c r="F29" s="669">
        <v>4.3</v>
      </c>
      <c r="G29" s="670">
        <v>2010</v>
      </c>
      <c r="H29" s="670">
        <v>2029</v>
      </c>
      <c r="I29" s="671">
        <v>6759.04</v>
      </c>
      <c r="J29" s="700">
        <v>5069.47</v>
      </c>
      <c r="K29" s="957"/>
      <c r="L29" s="701">
        <f t="shared" si="2"/>
        <v>1689.5699999999997</v>
      </c>
      <c r="M29" s="66"/>
      <c r="N29" s="664">
        <f t="shared" si="1"/>
        <v>35403.869999999995</v>
      </c>
      <c r="O29" s="174"/>
      <c r="P29" s="773"/>
      <c r="Q29" s="773"/>
    </row>
    <row r="30" spans="1:17" s="718" customFormat="1" ht="12.75">
      <c r="A30" s="717" t="s">
        <v>117</v>
      </c>
      <c r="B30" s="667" t="s">
        <v>20</v>
      </c>
      <c r="C30" s="719" t="s">
        <v>108</v>
      </c>
      <c r="D30" s="668">
        <v>152925</v>
      </c>
      <c r="E30" s="690">
        <f>'2022'!N29</f>
        <v>77021.71999999999</v>
      </c>
      <c r="F30" s="669">
        <v>4.43</v>
      </c>
      <c r="G30" s="670">
        <v>2011</v>
      </c>
      <c r="H30" s="670">
        <v>2029</v>
      </c>
      <c r="I30" s="671">
        <v>11483.74</v>
      </c>
      <c r="J30" s="700">
        <v>8254.35</v>
      </c>
      <c r="K30" s="957"/>
      <c r="L30" s="701">
        <f t="shared" si="2"/>
        <v>3229.3899999999994</v>
      </c>
      <c r="M30" s="66"/>
      <c r="N30" s="720">
        <f t="shared" si="1"/>
        <v>68767.36999999998</v>
      </c>
      <c r="P30" s="773"/>
      <c r="Q30" s="773"/>
    </row>
    <row r="31" spans="1:17" s="718" customFormat="1" ht="17.25" customHeight="1" thickBot="1">
      <c r="A31" s="717" t="s">
        <v>198</v>
      </c>
      <c r="B31" s="667" t="s">
        <v>20</v>
      </c>
      <c r="C31" s="730" t="s">
        <v>109</v>
      </c>
      <c r="D31" s="668">
        <v>140000</v>
      </c>
      <c r="E31" s="690">
        <f>'2022'!N30</f>
        <v>40998.96</v>
      </c>
      <c r="F31" s="669">
        <v>6.51</v>
      </c>
      <c r="G31" s="670">
        <v>2012</v>
      </c>
      <c r="H31" s="670">
        <v>2031</v>
      </c>
      <c r="I31" s="671">
        <v>6092.5</v>
      </c>
      <c r="J31" s="700">
        <v>3477.15</v>
      </c>
      <c r="K31" s="957"/>
      <c r="L31" s="701">
        <f t="shared" si="2"/>
        <v>2615.35</v>
      </c>
      <c r="M31" s="66"/>
      <c r="N31" s="776">
        <f t="shared" si="1"/>
        <v>37521.81</v>
      </c>
      <c r="P31" s="773"/>
      <c r="Q31" s="773"/>
    </row>
    <row r="32" spans="1:17" s="718" customFormat="1" ht="12.75" hidden="1">
      <c r="A32" s="855"/>
      <c r="B32" s="667"/>
      <c r="C32" s="730"/>
      <c r="D32" s="856"/>
      <c r="E32" s="690"/>
      <c r="F32" s="669"/>
      <c r="G32" s="857"/>
      <c r="H32" s="670"/>
      <c r="I32" s="858"/>
      <c r="J32" s="859"/>
      <c r="K32" s="66"/>
      <c r="L32" s="701">
        <f t="shared" si="2"/>
        <v>0</v>
      </c>
      <c r="M32" s="66"/>
      <c r="N32" s="776">
        <f t="shared" si="1"/>
        <v>0</v>
      </c>
      <c r="P32" s="773"/>
      <c r="Q32" s="773"/>
    </row>
    <row r="33" spans="1:17" s="718" customFormat="1" ht="13.5" hidden="1" thickBot="1">
      <c r="A33" s="843"/>
      <c r="B33" s="721"/>
      <c r="C33" s="721"/>
      <c r="D33" s="845"/>
      <c r="E33" s="778"/>
      <c r="F33" s="722"/>
      <c r="G33" s="842"/>
      <c r="H33" s="723"/>
      <c r="I33" s="849"/>
      <c r="J33" s="850"/>
      <c r="K33" s="653"/>
      <c r="L33" s="724">
        <f>I33-J33</f>
        <v>0</v>
      </c>
      <c r="M33" s="653"/>
      <c r="N33" s="756">
        <f>E33-J33</f>
        <v>0</v>
      </c>
      <c r="P33" s="773"/>
      <c r="Q33" s="773"/>
    </row>
    <row r="34" spans="1:14" ht="13.5" thickBot="1">
      <c r="A34" s="674"/>
      <c r="B34" s="675"/>
      <c r="C34" s="675"/>
      <c r="D34" s="676"/>
      <c r="E34" s="725" t="s">
        <v>42</v>
      </c>
      <c r="F34" s="678"/>
      <c r="G34" s="679"/>
      <c r="H34" s="680" t="s">
        <v>43</v>
      </c>
      <c r="I34" s="681">
        <f>SUM(I23:I33)</f>
        <v>55260.96</v>
      </c>
      <c r="J34" s="682">
        <f>SUM(J23:J33)</f>
        <v>43466.810000000005</v>
      </c>
      <c r="K34" s="685"/>
      <c r="L34" s="684">
        <f t="shared" si="2"/>
        <v>11794.149999999994</v>
      </c>
      <c r="M34" s="685"/>
      <c r="N34" s="703">
        <f>SUM(N23:N33)</f>
        <v>230893.94999999998</v>
      </c>
    </row>
    <row r="35" spans="1:14" ht="12.75" hidden="1">
      <c r="A35" s="714" t="s">
        <v>32</v>
      </c>
      <c r="B35" s="688" t="s">
        <v>20</v>
      </c>
      <c r="C35" s="688" t="s">
        <v>33</v>
      </c>
      <c r="D35" s="689">
        <v>13180.75</v>
      </c>
      <c r="E35" s="726">
        <f>'2022'!N34</f>
        <v>0</v>
      </c>
      <c r="F35" s="691">
        <v>6.5</v>
      </c>
      <c r="G35" s="692">
        <v>1998</v>
      </c>
      <c r="H35" s="692">
        <v>2017</v>
      </c>
      <c r="I35" s="693">
        <v>0</v>
      </c>
      <c r="J35" s="715"/>
      <c r="K35" s="35"/>
      <c r="L35" s="715">
        <f t="shared" si="2"/>
        <v>0</v>
      </c>
      <c r="M35" s="35"/>
      <c r="N35" s="727">
        <f t="shared" si="1"/>
        <v>0</v>
      </c>
    </row>
    <row r="36" spans="1:14" ht="12.75" hidden="1">
      <c r="A36" s="654">
        <v>4317937</v>
      </c>
      <c r="B36" s="655" t="s">
        <v>20</v>
      </c>
      <c r="C36" s="655" t="s">
        <v>33</v>
      </c>
      <c r="D36" s="656">
        <v>90110.63</v>
      </c>
      <c r="E36" s="726">
        <f>'2022'!N35</f>
        <v>0</v>
      </c>
      <c r="F36" s="658">
        <v>6.5</v>
      </c>
      <c r="G36" s="659">
        <v>1998</v>
      </c>
      <c r="H36" s="659">
        <v>2017</v>
      </c>
      <c r="I36" s="660">
        <v>0</v>
      </c>
      <c r="J36" s="661"/>
      <c r="K36" s="35">
        <v>3030</v>
      </c>
      <c r="L36" s="661">
        <f t="shared" si="2"/>
        <v>0</v>
      </c>
      <c r="M36" s="35">
        <v>820</v>
      </c>
      <c r="N36" s="664">
        <f t="shared" si="1"/>
        <v>0</v>
      </c>
    </row>
    <row r="37" spans="1:14" ht="13.5" hidden="1" thickBot="1">
      <c r="A37" s="665" t="s">
        <v>34</v>
      </c>
      <c r="B37" s="655" t="s">
        <v>20</v>
      </c>
      <c r="C37" s="655" t="s">
        <v>33</v>
      </c>
      <c r="D37" s="656">
        <v>51645.69</v>
      </c>
      <c r="E37" s="726">
        <f>'2022'!N36</f>
        <v>0</v>
      </c>
      <c r="F37" s="658">
        <v>6.5</v>
      </c>
      <c r="G37" s="659">
        <v>1998</v>
      </c>
      <c r="H37" s="659">
        <v>2017</v>
      </c>
      <c r="I37" s="660">
        <v>0</v>
      </c>
      <c r="J37" s="661"/>
      <c r="K37" s="35"/>
      <c r="L37" s="661">
        <f t="shared" si="2"/>
        <v>0</v>
      </c>
      <c r="M37" s="35"/>
      <c r="N37" s="664">
        <f t="shared" si="1"/>
        <v>0</v>
      </c>
    </row>
    <row r="38" spans="1:14" ht="13.5" hidden="1" thickBot="1">
      <c r="A38" s="674"/>
      <c r="B38" s="675"/>
      <c r="C38" s="675"/>
      <c r="D38" s="676"/>
      <c r="E38" s="682" t="s">
        <v>42</v>
      </c>
      <c r="F38" s="678"/>
      <c r="G38" s="679"/>
      <c r="H38" s="680" t="s">
        <v>43</v>
      </c>
      <c r="I38" s="681">
        <f>SUM(I35:I37)</f>
        <v>0</v>
      </c>
      <c r="J38" s="682">
        <f>SUM(J35:J37)</f>
        <v>0</v>
      </c>
      <c r="K38" s="685"/>
      <c r="L38" s="684">
        <f t="shared" si="2"/>
        <v>0</v>
      </c>
      <c r="M38" s="685"/>
      <c r="N38" s="703">
        <f>SUM(N35:N37)</f>
        <v>0</v>
      </c>
    </row>
    <row r="39" spans="1:14" ht="12.75">
      <c r="A39" s="714" t="s">
        <v>202</v>
      </c>
      <c r="B39" s="802" t="s">
        <v>181</v>
      </c>
      <c r="C39" s="688" t="s">
        <v>38</v>
      </c>
      <c r="D39" s="689">
        <v>98000</v>
      </c>
      <c r="E39" s="726">
        <f>'2022'!N38</f>
        <v>14078.179999999998</v>
      </c>
      <c r="F39" s="691">
        <v>0.97</v>
      </c>
      <c r="G39" s="692">
        <v>2004</v>
      </c>
      <c r="H39" s="863">
        <v>2024</v>
      </c>
      <c r="I39" s="693">
        <v>6751.84</v>
      </c>
      <c r="J39" s="715">
        <v>6746.94</v>
      </c>
      <c r="K39" s="959">
        <v>3030</v>
      </c>
      <c r="L39" s="715">
        <f>I39-J39</f>
        <v>4.900000000000546</v>
      </c>
      <c r="M39" s="959">
        <v>910</v>
      </c>
      <c r="N39" s="909">
        <f t="shared" si="1"/>
        <v>7331.239999999999</v>
      </c>
    </row>
    <row r="40" spans="1:14" ht="12.75" customHeight="1" hidden="1">
      <c r="A40" s="654">
        <v>4388738</v>
      </c>
      <c r="B40" s="803" t="s">
        <v>181</v>
      </c>
      <c r="C40" s="655" t="s">
        <v>38</v>
      </c>
      <c r="D40" s="656">
        <v>103291.38</v>
      </c>
      <c r="E40" s="726">
        <f>'2022'!N39</f>
        <v>0</v>
      </c>
      <c r="F40" s="658">
        <v>5.5</v>
      </c>
      <c r="G40" s="659">
        <v>2002</v>
      </c>
      <c r="H40" s="860">
        <v>2022</v>
      </c>
      <c r="I40" s="881"/>
      <c r="J40" s="882"/>
      <c r="K40" s="957"/>
      <c r="L40" s="661">
        <f t="shared" si="2"/>
        <v>0</v>
      </c>
      <c r="M40" s="957"/>
      <c r="N40" s="664">
        <f t="shared" si="1"/>
        <v>0</v>
      </c>
    </row>
    <row r="41" spans="1:14" ht="12.75" customHeight="1" hidden="1">
      <c r="A41" s="654">
        <v>4363583</v>
      </c>
      <c r="B41" s="655" t="s">
        <v>20</v>
      </c>
      <c r="C41" s="655" t="s">
        <v>38</v>
      </c>
      <c r="D41" s="656">
        <v>49982.94</v>
      </c>
      <c r="E41" s="726">
        <f>'2022'!N40</f>
        <v>0</v>
      </c>
      <c r="F41" s="658">
        <v>5.75</v>
      </c>
      <c r="G41" s="659">
        <v>2001</v>
      </c>
      <c r="H41" s="774">
        <v>2020</v>
      </c>
      <c r="I41" s="660"/>
      <c r="J41" s="661"/>
      <c r="K41" s="957"/>
      <c r="L41" s="661">
        <f t="shared" si="2"/>
        <v>0</v>
      </c>
      <c r="M41" s="957"/>
      <c r="N41" s="664">
        <f t="shared" si="1"/>
        <v>0</v>
      </c>
    </row>
    <row r="42" spans="1:14" ht="12.75" customHeight="1" hidden="1">
      <c r="A42" s="699">
        <v>4317938</v>
      </c>
      <c r="B42" s="667" t="s">
        <v>20</v>
      </c>
      <c r="C42" s="667" t="s">
        <v>38</v>
      </c>
      <c r="D42" s="668">
        <v>50396.44</v>
      </c>
      <c r="E42" s="726">
        <f>'2022'!N41</f>
        <v>0</v>
      </c>
      <c r="F42" s="669">
        <v>6.5</v>
      </c>
      <c r="G42" s="670">
        <v>1998</v>
      </c>
      <c r="H42" s="670">
        <v>2017</v>
      </c>
      <c r="I42" s="671"/>
      <c r="J42" s="672"/>
      <c r="K42" s="957"/>
      <c r="L42" s="672">
        <f>I42-J42</f>
        <v>0</v>
      </c>
      <c r="M42" s="957"/>
      <c r="N42" s="728">
        <f>E42-J42</f>
        <v>0</v>
      </c>
    </row>
    <row r="43" spans="1:14" ht="13.5" thickBot="1">
      <c r="A43" s="717" t="s">
        <v>94</v>
      </c>
      <c r="B43" s="655" t="s">
        <v>20</v>
      </c>
      <c r="C43" s="655" t="s">
        <v>85</v>
      </c>
      <c r="D43" s="668">
        <v>130000</v>
      </c>
      <c r="E43" s="726">
        <f>'2022'!N42</f>
        <v>51373.90000000001</v>
      </c>
      <c r="F43" s="669">
        <v>4.39</v>
      </c>
      <c r="G43" s="670">
        <v>2008</v>
      </c>
      <c r="H43" s="670">
        <v>2028</v>
      </c>
      <c r="I43" s="671">
        <v>9832.52</v>
      </c>
      <c r="J43" s="672">
        <v>7660.36</v>
      </c>
      <c r="K43" s="958"/>
      <c r="L43" s="672">
        <f>I43-J43</f>
        <v>2172.1600000000008</v>
      </c>
      <c r="M43" s="958"/>
      <c r="N43" s="664">
        <f>E43-J43</f>
        <v>43713.54000000001</v>
      </c>
    </row>
    <row r="44" spans="1:14" ht="13.5" thickBot="1">
      <c r="A44" s="729"/>
      <c r="B44" s="675"/>
      <c r="C44" s="675"/>
      <c r="D44" s="676"/>
      <c r="E44" s="682" t="s">
        <v>42</v>
      </c>
      <c r="F44" s="678"/>
      <c r="G44" s="679"/>
      <c r="H44" s="680" t="s">
        <v>43</v>
      </c>
      <c r="I44" s="681">
        <f>SUM(I39:I43)</f>
        <v>16584.36</v>
      </c>
      <c r="J44" s="682">
        <f>SUM(J39:J43)</f>
        <v>14407.3</v>
      </c>
      <c r="K44" s="685"/>
      <c r="L44" s="682">
        <f t="shared" si="2"/>
        <v>2177.0600000000013</v>
      </c>
      <c r="M44" s="685"/>
      <c r="N44" s="703">
        <f>SUM(N39:N43)</f>
        <v>51044.780000000006</v>
      </c>
    </row>
    <row r="45" spans="1:17" s="673" customFormat="1" ht="15.75" customHeight="1" thickBot="1">
      <c r="A45" s="717" t="s">
        <v>105</v>
      </c>
      <c r="B45" s="667" t="s">
        <v>20</v>
      </c>
      <c r="C45" s="730" t="s">
        <v>100</v>
      </c>
      <c r="D45" s="668">
        <v>50000</v>
      </c>
      <c r="E45" s="731">
        <f>'2022'!N44</f>
        <v>22508.42</v>
      </c>
      <c r="F45" s="669">
        <v>4.32</v>
      </c>
      <c r="G45" s="670">
        <v>2010</v>
      </c>
      <c r="H45" s="670">
        <v>2029</v>
      </c>
      <c r="I45" s="671">
        <v>3761.52</v>
      </c>
      <c r="J45" s="700">
        <v>2817.52</v>
      </c>
      <c r="K45" s="66">
        <v>3030</v>
      </c>
      <c r="L45" s="701">
        <f>I45-J45</f>
        <v>944</v>
      </c>
      <c r="M45" s="66">
        <v>930</v>
      </c>
      <c r="N45" s="664">
        <f>E45-J45</f>
        <v>19690.899999999998</v>
      </c>
      <c r="P45" s="771"/>
      <c r="Q45" s="771"/>
    </row>
    <row r="46" spans="1:14" ht="13.5" thickBot="1">
      <c r="A46" s="674"/>
      <c r="B46" s="675"/>
      <c r="C46" s="675"/>
      <c r="D46" s="676"/>
      <c r="E46" s="682" t="s">
        <v>42</v>
      </c>
      <c r="F46" s="678"/>
      <c r="G46" s="679"/>
      <c r="H46" s="680" t="s">
        <v>43</v>
      </c>
      <c r="I46" s="681">
        <f>SUM(I45:I45)</f>
        <v>3761.52</v>
      </c>
      <c r="J46" s="828">
        <f>SUM(J45:J45)</f>
        <v>2817.52</v>
      </c>
      <c r="K46" s="685"/>
      <c r="L46" s="684">
        <f t="shared" si="2"/>
        <v>944</v>
      </c>
      <c r="M46" s="685"/>
      <c r="N46" s="703">
        <f>SUM(N45:N45)</f>
        <v>19690.899999999998</v>
      </c>
    </row>
    <row r="47" spans="1:14" ht="12.75" hidden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715">
        <f t="shared" si="2"/>
        <v>0</v>
      </c>
      <c r="M47" s="66"/>
      <c r="N47" s="741">
        <f t="shared" si="1"/>
        <v>0</v>
      </c>
    </row>
    <row r="48" spans="1:14" ht="12.75" hidden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2"/>
        <v>0</v>
      </c>
      <c r="M48" s="27"/>
      <c r="N48" s="741">
        <f t="shared" si="1"/>
        <v>0</v>
      </c>
    </row>
    <row r="49" spans="1:14" ht="12.75" hidden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2"/>
        <v>0</v>
      </c>
      <c r="M49" s="27"/>
      <c r="N49" s="741">
        <f t="shared" si="1"/>
        <v>0</v>
      </c>
    </row>
    <row r="50" spans="1:14" ht="12.75" hidden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2"/>
        <v>0</v>
      </c>
      <c r="M50" s="27"/>
      <c r="N50" s="741">
        <f t="shared" si="1"/>
        <v>0</v>
      </c>
    </row>
    <row r="51" spans="1:14" ht="12.75" hidden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2"/>
        <v>0</v>
      </c>
      <c r="M51" s="27"/>
      <c r="N51" s="741">
        <f t="shared" si="1"/>
        <v>0</v>
      </c>
    </row>
    <row r="52" spans="1:14" ht="12.75" hidden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2"/>
        <v>0</v>
      </c>
      <c r="M52" s="27"/>
      <c r="N52" s="741">
        <f t="shared" si="1"/>
        <v>0</v>
      </c>
    </row>
    <row r="53" spans="1:14" ht="12.75" hidden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2"/>
        <v>0</v>
      </c>
      <c r="M53" s="27"/>
      <c r="N53" s="741">
        <f t="shared" si="1"/>
        <v>0</v>
      </c>
    </row>
    <row r="54" spans="1:14" ht="12.75" hidden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2"/>
        <v>0</v>
      </c>
      <c r="M54" s="27"/>
      <c r="N54" s="741">
        <f t="shared" si="1"/>
        <v>0</v>
      </c>
    </row>
    <row r="55" spans="1:14" ht="12.75" hidden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2"/>
        <v>0</v>
      </c>
      <c r="M55" s="27"/>
      <c r="N55" s="741">
        <f t="shared" si="1"/>
        <v>0</v>
      </c>
    </row>
    <row r="56" spans="1:14" ht="12.75" hidden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2"/>
        <v>0</v>
      </c>
      <c r="M56" s="27"/>
      <c r="N56" s="741">
        <f t="shared" si="1"/>
        <v>0</v>
      </c>
    </row>
    <row r="57" spans="1:14" ht="12.75" hidden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2"/>
        <v>0</v>
      </c>
      <c r="M57" s="27"/>
      <c r="N57" s="741">
        <f t="shared" si="1"/>
        <v>0</v>
      </c>
    </row>
    <row r="58" spans="1:14" ht="12.75" hidden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2"/>
        <v>0</v>
      </c>
      <c r="M58" s="27"/>
      <c r="N58" s="741">
        <f t="shared" si="1"/>
        <v>0</v>
      </c>
    </row>
    <row r="59" spans="1:14" ht="12.75" hidden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2"/>
        <v>0</v>
      </c>
      <c r="M59" s="27"/>
      <c r="N59" s="741">
        <f t="shared" si="1"/>
        <v>0</v>
      </c>
    </row>
    <row r="60" spans="1:14" ht="12.75" hidden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2"/>
        <v>0</v>
      </c>
      <c r="M60" s="27"/>
      <c r="N60" s="741">
        <f t="shared" si="1"/>
        <v>0</v>
      </c>
    </row>
    <row r="61" spans="1:14" ht="12.75" hidden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2"/>
        <v>0</v>
      </c>
      <c r="M61" s="27"/>
      <c r="N61" s="741">
        <f t="shared" si="1"/>
        <v>0</v>
      </c>
    </row>
    <row r="62" spans="1:14" ht="12.75" hidden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2"/>
        <v>0</v>
      </c>
      <c r="M62" s="27"/>
      <c r="N62" s="741">
        <f t="shared" si="1"/>
        <v>0</v>
      </c>
    </row>
    <row r="63" spans="1:14" ht="12.75" hidden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2"/>
        <v>0</v>
      </c>
      <c r="M63" s="27"/>
      <c r="N63" s="741">
        <f t="shared" si="1"/>
        <v>0</v>
      </c>
    </row>
    <row r="64" spans="1:14" ht="12.75" hidden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2"/>
        <v>0</v>
      </c>
      <c r="M64" s="27"/>
      <c r="N64" s="741">
        <f t="shared" si="1"/>
        <v>0</v>
      </c>
    </row>
    <row r="65" spans="1:14" ht="12.75" hidden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2"/>
        <v>0</v>
      </c>
      <c r="M65" s="27"/>
      <c r="N65" s="741">
        <f t="shared" si="1"/>
        <v>0</v>
      </c>
    </row>
    <row r="66" spans="1:14" ht="12.75" hidden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2"/>
        <v>0</v>
      </c>
      <c r="M66" s="27"/>
      <c r="N66" s="741">
        <f t="shared" si="1"/>
        <v>0</v>
      </c>
    </row>
    <row r="67" spans="1:14" ht="12.75" hidden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2"/>
        <v>0</v>
      </c>
      <c r="M67" s="27"/>
      <c r="N67" s="741">
        <f t="shared" si="1"/>
        <v>0</v>
      </c>
    </row>
    <row r="68" spans="1:14" ht="12.75" hidden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 t="shared" si="2"/>
        <v>0</v>
      </c>
      <c r="M68" s="27"/>
      <c r="N68" s="741">
        <f t="shared" si="1"/>
        <v>0</v>
      </c>
    </row>
    <row r="69" spans="1:14" ht="12.75" hidden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 t="shared" si="2"/>
        <v>0</v>
      </c>
      <c r="M69" s="27"/>
      <c r="N69" s="741">
        <f t="shared" si="1"/>
        <v>0</v>
      </c>
    </row>
    <row r="70" spans="1:14" ht="12.75" hidden="1">
      <c r="A70" s="733"/>
      <c r="B70" s="734"/>
      <c r="C70" s="734"/>
      <c r="D70" s="735"/>
      <c r="E70" s="736"/>
      <c r="F70" s="737"/>
      <c r="G70" s="738"/>
      <c r="H70" s="738"/>
      <c r="I70" s="739"/>
      <c r="J70" s="736"/>
      <c r="K70" s="740"/>
      <c r="L70" s="661">
        <f t="shared" si="2"/>
        <v>0</v>
      </c>
      <c r="M70" s="27"/>
      <c r="N70" s="741">
        <f t="shared" si="1"/>
        <v>0</v>
      </c>
    </row>
    <row r="71" spans="1:14" ht="12.75" hidden="1">
      <c r="A71" s="733"/>
      <c r="B71" s="734"/>
      <c r="C71" s="734"/>
      <c r="D71" s="735"/>
      <c r="E71" s="736"/>
      <c r="F71" s="737"/>
      <c r="G71" s="738"/>
      <c r="H71" s="738"/>
      <c r="I71" s="739"/>
      <c r="J71" s="736"/>
      <c r="K71" s="740"/>
      <c r="L71" s="661">
        <f t="shared" si="2"/>
        <v>0</v>
      </c>
      <c r="M71" s="27"/>
      <c r="N71" s="741">
        <f t="shared" si="1"/>
        <v>0</v>
      </c>
    </row>
    <row r="72" spans="1:14" ht="12.75" hidden="1">
      <c r="A72" s="733"/>
      <c r="B72" s="734"/>
      <c r="C72" s="734"/>
      <c r="D72" s="735"/>
      <c r="E72" s="736"/>
      <c r="F72" s="737"/>
      <c r="G72" s="738"/>
      <c r="H72" s="738"/>
      <c r="I72" s="739"/>
      <c r="J72" s="736"/>
      <c r="K72" s="740"/>
      <c r="L72" s="661">
        <f t="shared" si="2"/>
        <v>0</v>
      </c>
      <c r="M72" s="27"/>
      <c r="N72" s="741">
        <f t="shared" si="1"/>
        <v>0</v>
      </c>
    </row>
    <row r="73" spans="1:14" ht="12.75" hidden="1">
      <c r="A73" s="733"/>
      <c r="B73" s="734"/>
      <c r="C73" s="734"/>
      <c r="D73" s="735"/>
      <c r="E73" s="736"/>
      <c r="F73" s="737"/>
      <c r="G73" s="738"/>
      <c r="H73" s="738"/>
      <c r="I73" s="739"/>
      <c r="J73" s="736"/>
      <c r="K73" s="740"/>
      <c r="L73" s="661">
        <f>I73-J73</f>
        <v>0</v>
      </c>
      <c r="M73" s="27"/>
      <c r="N73" s="741">
        <f>E73-J73</f>
        <v>0</v>
      </c>
    </row>
    <row r="74" spans="1:14" ht="12.75" hidden="1">
      <c r="A74" s="733"/>
      <c r="B74" s="734"/>
      <c r="C74" s="734"/>
      <c r="D74" s="735"/>
      <c r="E74" s="736"/>
      <c r="F74" s="737"/>
      <c r="G74" s="738"/>
      <c r="H74" s="738"/>
      <c r="I74" s="739"/>
      <c r="J74" s="736"/>
      <c r="K74" s="740"/>
      <c r="L74" s="661">
        <f>I74-J74</f>
        <v>0</v>
      </c>
      <c r="M74" s="27"/>
      <c r="N74" s="741">
        <f>E74-J74</f>
        <v>0</v>
      </c>
    </row>
    <row r="75" spans="1:14" ht="13.5" hidden="1" thickBot="1">
      <c r="A75" s="742"/>
      <c r="B75" s="705"/>
      <c r="C75" s="705"/>
      <c r="D75" s="706"/>
      <c r="E75" s="743"/>
      <c r="F75" s="708"/>
      <c r="G75" s="709"/>
      <c r="H75" s="709"/>
      <c r="I75" s="710"/>
      <c r="J75" s="743"/>
      <c r="K75" s="744"/>
      <c r="L75" s="672">
        <f>I75-J75</f>
        <v>0</v>
      </c>
      <c r="M75" s="27"/>
      <c r="N75" s="713">
        <f>E75-J75</f>
        <v>0</v>
      </c>
    </row>
    <row r="76" spans="1:14" ht="14.25" thickBot="1" thickTop="1">
      <c r="A76" s="745"/>
      <c r="B76" s="746"/>
      <c r="C76" s="747" t="s">
        <v>8</v>
      </c>
      <c r="D76" s="748">
        <f>SUM(D3:D75)</f>
        <v>3617706.9799999995</v>
      </c>
      <c r="E76" s="749">
        <f>SUM(E3:E75)</f>
        <v>950163.4200000002</v>
      </c>
      <c r="F76" s="135"/>
      <c r="G76" s="135"/>
      <c r="H76" s="135"/>
      <c r="I76" s="750">
        <f>+I12+I19+I22+I34+I38+I44+I46</f>
        <v>146226.19999999998</v>
      </c>
      <c r="J76" s="750">
        <f>+J12+J19+J22+J34+J38+J44+J46</f>
        <v>119528.66</v>
      </c>
      <c r="K76" s="135"/>
      <c r="L76" s="750">
        <f>+L12+L19+L22+L34+L38+L44+L46</f>
        <v>26697.539999999994</v>
      </c>
      <c r="M76" s="135"/>
      <c r="N76" s="751">
        <f>+N12+N19+N22+N34+N38+N44+N46</f>
        <v>830634.7600000001</v>
      </c>
    </row>
    <row r="77" ht="13.5" thickTop="1"/>
    <row r="78" spans="9:17" s="883" customFormat="1" ht="9.75">
      <c r="I78" s="875">
        <f>I3+I39</f>
        <v>35301.64</v>
      </c>
      <c r="J78" s="875">
        <f>J3+J39</f>
        <v>35275.99</v>
      </c>
      <c r="K78" s="879"/>
      <c r="L78" s="875">
        <f>L3+L39</f>
        <v>25.650000000000546</v>
      </c>
      <c r="M78" s="884" t="s">
        <v>181</v>
      </c>
      <c r="N78" s="875">
        <f>N3+N39</f>
        <v>38357.390000000014</v>
      </c>
      <c r="P78" s="853"/>
      <c r="Q78" s="853"/>
    </row>
    <row r="79" spans="1:17" s="752" customFormat="1" ht="9.75">
      <c r="A79" s="752" t="s">
        <v>42</v>
      </c>
      <c r="I79" s="874">
        <f>I76-I78-I21</f>
        <v>110924.55999999998</v>
      </c>
      <c r="J79" s="874">
        <f>J76-J78-J21</f>
        <v>84252.67000000001</v>
      </c>
      <c r="K79" s="770"/>
      <c r="L79" s="874">
        <f>L76-L78-L21</f>
        <v>26671.889999999992</v>
      </c>
      <c r="M79" s="793" t="s">
        <v>188</v>
      </c>
      <c r="N79" s="874">
        <f>N76-N78-N21</f>
        <v>632277.3700000001</v>
      </c>
      <c r="P79" s="770"/>
      <c r="Q79" s="770"/>
    </row>
    <row r="80" spans="9:17" s="752" customFormat="1" ht="9.75">
      <c r="I80" s="943">
        <f>I76-I78-I79</f>
        <v>0</v>
      </c>
      <c r="J80" s="943">
        <f>J21</f>
        <v>0</v>
      </c>
      <c r="K80" s="944"/>
      <c r="L80" s="943">
        <f>L21</f>
        <v>0</v>
      </c>
      <c r="M80" s="945" t="s">
        <v>212</v>
      </c>
      <c r="N80" s="943">
        <f>N21</f>
        <v>160000</v>
      </c>
      <c r="P80" s="770"/>
      <c r="Q80" s="770"/>
    </row>
    <row r="81" ht="12.75">
      <c r="J81" s="754"/>
    </row>
    <row r="82" ht="12.75">
      <c r="N82" s="840"/>
    </row>
  </sheetData>
  <sheetProtection/>
  <mergeCells count="10">
    <mergeCell ref="K20:K22"/>
    <mergeCell ref="A1:N1"/>
    <mergeCell ref="M3:M11"/>
    <mergeCell ref="M13:M18"/>
    <mergeCell ref="M39:M43"/>
    <mergeCell ref="K3:K11"/>
    <mergeCell ref="K39:K43"/>
    <mergeCell ref="K13:K18"/>
    <mergeCell ref="K25:K31"/>
    <mergeCell ref="M20:M2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81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0.7109375" style="174" customWidth="1"/>
    <col min="2" max="2" width="13.421875" style="174" customWidth="1"/>
    <col min="3" max="3" width="53.421875" style="174" customWidth="1"/>
    <col min="4" max="5" width="12.00390625" style="174" customWidth="1"/>
    <col min="6" max="8" width="9.140625" style="174" customWidth="1"/>
    <col min="9" max="9" width="10.7109375" style="174" customWidth="1"/>
    <col min="10" max="10" width="11.8515625" style="174" customWidth="1"/>
    <col min="11" max="11" width="9.140625" style="174" customWidth="1"/>
    <col min="12" max="12" width="10.7109375" style="24" customWidth="1"/>
    <col min="13" max="13" width="9.140625" style="24" customWidth="1"/>
    <col min="14" max="14" width="12.00390625" style="752" customWidth="1"/>
    <col min="15" max="15" width="2.00390625" style="174" customWidth="1"/>
    <col min="16" max="16" width="9.140625" style="772" customWidth="1"/>
    <col min="17" max="17" width="10.00390625" style="772" customWidth="1"/>
    <col min="18" max="16384" width="9.140625" style="174" customWidth="1"/>
  </cols>
  <sheetData>
    <row r="1" spans="1:17" ht="24.75" customHeight="1" thickBot="1">
      <c r="A1" s="954" t="s">
        <v>189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P1" s="770"/>
      <c r="Q1" s="770"/>
    </row>
    <row r="2" spans="1:17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190</v>
      </c>
      <c r="F2" s="138" t="s">
        <v>3</v>
      </c>
      <c r="G2" s="138" t="s">
        <v>4</v>
      </c>
      <c r="H2" s="138" t="s">
        <v>5</v>
      </c>
      <c r="I2" s="138" t="s">
        <v>191</v>
      </c>
      <c r="J2" s="138" t="s">
        <v>192</v>
      </c>
      <c r="K2" s="138" t="s">
        <v>6</v>
      </c>
      <c r="L2" s="138" t="s">
        <v>193</v>
      </c>
      <c r="M2" s="138" t="s">
        <v>6</v>
      </c>
      <c r="N2" s="139" t="s">
        <v>194</v>
      </c>
      <c r="P2" s="770"/>
      <c r="Q2" s="770"/>
    </row>
    <row r="3" spans="1:17" ht="12.75">
      <c r="A3" s="654">
        <v>4425594</v>
      </c>
      <c r="B3" s="803" t="s">
        <v>181</v>
      </c>
      <c r="C3" s="655" t="s">
        <v>15</v>
      </c>
      <c r="D3" s="656">
        <v>413165</v>
      </c>
      <c r="E3" s="657">
        <f>'2023'!N3</f>
        <v>31026.150000000012</v>
      </c>
      <c r="F3" s="658">
        <v>0.97</v>
      </c>
      <c r="G3" s="659">
        <v>2004</v>
      </c>
      <c r="H3" s="948">
        <v>2024</v>
      </c>
      <c r="I3" s="949">
        <f>'2023'!N3</f>
        <v>31026.150000000012</v>
      </c>
      <c r="J3" s="950">
        <f>I3</f>
        <v>31026.150000000012</v>
      </c>
      <c r="K3" s="956">
        <v>3030</v>
      </c>
      <c r="L3" s="661">
        <v>0</v>
      </c>
      <c r="M3" s="961">
        <v>283</v>
      </c>
      <c r="N3" s="662"/>
      <c r="O3" s="663"/>
      <c r="P3" s="770"/>
      <c r="Q3" s="770"/>
    </row>
    <row r="4" spans="1:17" ht="12.75" customHeight="1" hidden="1">
      <c r="A4" s="654">
        <v>4403430</v>
      </c>
      <c r="B4" s="803" t="s">
        <v>181</v>
      </c>
      <c r="C4" s="655" t="s">
        <v>15</v>
      </c>
      <c r="D4" s="656">
        <v>154937.07</v>
      </c>
      <c r="E4" s="657">
        <f>'2023'!N4</f>
        <v>0</v>
      </c>
      <c r="F4" s="658">
        <v>5.25</v>
      </c>
      <c r="G4" s="659">
        <v>2002.2021</v>
      </c>
      <c r="H4" s="860">
        <v>2022</v>
      </c>
      <c r="I4" s="660"/>
      <c r="J4" s="661"/>
      <c r="K4" s="957"/>
      <c r="L4" s="661">
        <f aca="true" t="shared" si="0" ref="L4:L72">I4-J4</f>
        <v>0</v>
      </c>
      <c r="M4" s="962"/>
      <c r="N4" s="664">
        <f aca="true" t="shared" si="1" ref="N4:N72">E4-J4</f>
        <v>0</v>
      </c>
      <c r="P4" s="770"/>
      <c r="Q4" s="770"/>
    </row>
    <row r="5" spans="1:17" ht="12" customHeight="1" hidden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'2023'!N5</f>
        <v>0</v>
      </c>
      <c r="F5" s="658">
        <v>5.75</v>
      </c>
      <c r="G5" s="659">
        <v>2001</v>
      </c>
      <c r="H5" s="774">
        <v>2020</v>
      </c>
      <c r="I5" s="660"/>
      <c r="J5" s="661"/>
      <c r="K5" s="957"/>
      <c r="L5" s="661">
        <f t="shared" si="0"/>
        <v>0</v>
      </c>
      <c r="M5" s="962"/>
      <c r="N5" s="664">
        <f t="shared" si="1"/>
        <v>0</v>
      </c>
      <c r="P5" s="770"/>
      <c r="Q5" s="770"/>
    </row>
    <row r="6" spans="1:17" ht="12.75" customHeight="1" hidden="1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'2023'!N6</f>
        <v>0</v>
      </c>
      <c r="F6" s="658">
        <v>5.75</v>
      </c>
      <c r="G6" s="659">
        <v>2001</v>
      </c>
      <c r="H6" s="774">
        <v>2020</v>
      </c>
      <c r="I6" s="660"/>
      <c r="J6" s="661"/>
      <c r="K6" s="957"/>
      <c r="L6" s="661">
        <f t="shared" si="0"/>
        <v>0</v>
      </c>
      <c r="M6" s="962"/>
      <c r="N6" s="664">
        <f t="shared" si="1"/>
        <v>0</v>
      </c>
      <c r="P6" s="770"/>
      <c r="Q6" s="770"/>
    </row>
    <row r="7" spans="1:17" ht="12.75" customHeight="1" hidden="1">
      <c r="A7" s="654">
        <v>4354048</v>
      </c>
      <c r="B7" s="655" t="s">
        <v>7</v>
      </c>
      <c r="C7" s="655" t="s">
        <v>15</v>
      </c>
      <c r="D7" s="656">
        <v>179245.09</v>
      </c>
      <c r="E7" s="657">
        <f>'2023'!N7</f>
        <v>0</v>
      </c>
      <c r="F7" s="658">
        <v>0</v>
      </c>
      <c r="G7" s="659">
        <v>2000</v>
      </c>
      <c r="H7" s="659">
        <v>2019</v>
      </c>
      <c r="I7" s="660"/>
      <c r="J7" s="661"/>
      <c r="K7" s="957"/>
      <c r="L7" s="661">
        <f t="shared" si="0"/>
        <v>0</v>
      </c>
      <c r="M7" s="962"/>
      <c r="N7" s="664">
        <f t="shared" si="1"/>
        <v>0</v>
      </c>
      <c r="P7" s="770"/>
      <c r="Q7" s="770"/>
    </row>
    <row r="8" spans="1:17" ht="12.75" customHeight="1" hidden="1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'2023'!N8</f>
        <v>0</v>
      </c>
      <c r="F8" s="658">
        <v>6.5</v>
      </c>
      <c r="G8" s="659">
        <v>1998</v>
      </c>
      <c r="H8" s="659">
        <v>2017</v>
      </c>
      <c r="I8" s="660"/>
      <c r="J8" s="661"/>
      <c r="K8" s="957"/>
      <c r="L8" s="661">
        <f t="shared" si="0"/>
        <v>0</v>
      </c>
      <c r="M8" s="962"/>
      <c r="N8" s="664">
        <f t="shared" si="1"/>
        <v>0</v>
      </c>
      <c r="P8" s="770"/>
      <c r="Q8" s="770"/>
    </row>
    <row r="9" spans="1:17" ht="12.75" customHeight="1" hidden="1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'2023'!N9</f>
        <v>0</v>
      </c>
      <c r="F9" s="658">
        <v>6.5</v>
      </c>
      <c r="G9" s="659">
        <v>1998</v>
      </c>
      <c r="H9" s="659">
        <v>2017</v>
      </c>
      <c r="I9" s="660"/>
      <c r="J9" s="661"/>
      <c r="K9" s="957"/>
      <c r="L9" s="661">
        <f>I9-J9</f>
        <v>0</v>
      </c>
      <c r="M9" s="962"/>
      <c r="N9" s="664">
        <f>E9-J9</f>
        <v>0</v>
      </c>
      <c r="P9" s="770"/>
      <c r="Q9" s="770"/>
    </row>
    <row r="10" spans="1:17" ht="12.75">
      <c r="A10" s="717" t="s">
        <v>77</v>
      </c>
      <c r="B10" s="667" t="s">
        <v>7</v>
      </c>
      <c r="C10" s="667" t="s">
        <v>72</v>
      </c>
      <c r="D10" s="668">
        <v>80000</v>
      </c>
      <c r="E10" s="657">
        <f>'2023'!N10</f>
        <v>10917.64</v>
      </c>
      <c r="F10" s="669">
        <v>3.72</v>
      </c>
      <c r="G10" s="670">
        <v>2006</v>
      </c>
      <c r="H10" s="907">
        <v>2025</v>
      </c>
      <c r="I10" s="671">
        <v>5716.4</v>
      </c>
      <c r="J10" s="672">
        <v>5357.71</v>
      </c>
      <c r="K10" s="957"/>
      <c r="L10" s="672">
        <f>I10-J10</f>
        <v>358.6899999999996</v>
      </c>
      <c r="M10" s="962"/>
      <c r="N10" s="664">
        <f>E10-J10</f>
        <v>5559.929999999999</v>
      </c>
      <c r="P10" s="770"/>
      <c r="Q10" s="770"/>
    </row>
    <row r="11" spans="1:17" s="673" customFormat="1" ht="13.5" thickBot="1">
      <c r="A11" s="665" t="s">
        <v>102</v>
      </c>
      <c r="B11" s="655" t="s">
        <v>20</v>
      </c>
      <c r="C11" s="655" t="s">
        <v>92</v>
      </c>
      <c r="D11" s="656">
        <v>60000</v>
      </c>
      <c r="E11" s="657">
        <f>'2023'!N11</f>
        <v>24066.839999999993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3563.87</v>
      </c>
      <c r="K11" s="958"/>
      <c r="L11" s="672">
        <f>I11-J11</f>
        <v>1080.2300000000005</v>
      </c>
      <c r="M11" s="963"/>
      <c r="N11" s="664">
        <f>E11-J11</f>
        <v>20502.969999999994</v>
      </c>
      <c r="P11" s="771"/>
      <c r="Q11" s="771"/>
    </row>
    <row r="12" spans="1:14" ht="13.5" thickBot="1">
      <c r="A12" s="674"/>
      <c r="B12" s="675"/>
      <c r="C12" s="675"/>
      <c r="D12" s="676"/>
      <c r="E12" s="682" t="s">
        <v>42</v>
      </c>
      <c r="F12" s="678"/>
      <c r="G12" s="679"/>
      <c r="H12" s="680" t="s">
        <v>43</v>
      </c>
      <c r="I12" s="681">
        <f>SUM(I3:I11)</f>
        <v>41386.65000000001</v>
      </c>
      <c r="J12" s="682">
        <f>SUM(J3:J11)</f>
        <v>39947.73000000002</v>
      </c>
      <c r="K12" s="683"/>
      <c r="L12" s="684">
        <f t="shared" si="0"/>
        <v>1438.919999999991</v>
      </c>
      <c r="M12" s="685"/>
      <c r="N12" s="686">
        <f>SUM(N3:N11)</f>
        <v>26062.899999999994</v>
      </c>
    </row>
    <row r="13" spans="1:14" ht="12.75" hidden="1">
      <c r="A13" s="687">
        <v>4367661</v>
      </c>
      <c r="B13" s="688" t="s">
        <v>20</v>
      </c>
      <c r="C13" s="688" t="s">
        <v>21</v>
      </c>
      <c r="D13" s="689">
        <v>51645.69</v>
      </c>
      <c r="E13" s="726">
        <f>'2022'!N13</f>
        <v>0</v>
      </c>
      <c r="F13" s="691">
        <v>5.75</v>
      </c>
      <c r="G13" s="692">
        <v>2001</v>
      </c>
      <c r="H13" s="775">
        <v>2020</v>
      </c>
      <c r="I13" s="693"/>
      <c r="J13" s="694"/>
      <c r="K13" s="959">
        <v>3030</v>
      </c>
      <c r="L13" s="695">
        <f t="shared" si="0"/>
        <v>0</v>
      </c>
      <c r="M13" s="959">
        <v>518</v>
      </c>
      <c r="N13" s="696">
        <f t="shared" si="1"/>
        <v>0</v>
      </c>
    </row>
    <row r="14" spans="1:14" ht="12.75" hidden="1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'2022'!N14</f>
        <v>0</v>
      </c>
      <c r="F14" s="658">
        <v>5.75</v>
      </c>
      <c r="G14" s="659">
        <v>2001</v>
      </c>
      <c r="H14" s="774">
        <v>2020</v>
      </c>
      <c r="I14" s="660"/>
      <c r="J14" s="697"/>
      <c r="K14" s="957"/>
      <c r="L14" s="698">
        <f t="shared" si="0"/>
        <v>0</v>
      </c>
      <c r="M14" s="957"/>
      <c r="N14" s="664">
        <f t="shared" si="1"/>
        <v>0</v>
      </c>
    </row>
    <row r="15" spans="1:14" ht="12.75" customHeight="1" hidden="1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'2022'!N15</f>
        <v>0</v>
      </c>
      <c r="F15" s="658">
        <v>4.85</v>
      </c>
      <c r="G15" s="659">
        <v>1999</v>
      </c>
      <c r="H15" s="659">
        <v>2018</v>
      </c>
      <c r="I15" s="660"/>
      <c r="J15" s="697"/>
      <c r="K15" s="957"/>
      <c r="L15" s="698">
        <f t="shared" si="0"/>
        <v>0</v>
      </c>
      <c r="M15" s="957"/>
      <c r="N15" s="664">
        <f t="shared" si="1"/>
        <v>0</v>
      </c>
    </row>
    <row r="16" spans="1:17" s="673" customFormat="1" ht="12.75">
      <c r="A16" s="717" t="s">
        <v>197</v>
      </c>
      <c r="B16" s="667" t="s">
        <v>20</v>
      </c>
      <c r="C16" s="667" t="s">
        <v>164</v>
      </c>
      <c r="D16" s="668">
        <v>127500</v>
      </c>
      <c r="E16" s="690">
        <f>'2023'!N16</f>
        <v>70798.72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6995.34</v>
      </c>
      <c r="K16" s="957"/>
      <c r="L16" s="701">
        <f>I16-J16</f>
        <v>4500.42</v>
      </c>
      <c r="M16" s="957"/>
      <c r="N16" s="664">
        <f>E16-J16</f>
        <v>63803.380000000005</v>
      </c>
      <c r="P16" s="771"/>
      <c r="Q16" s="771"/>
    </row>
    <row r="17" spans="1:17" s="673" customFormat="1" ht="13.5" thickBot="1">
      <c r="A17" s="717" t="s">
        <v>196</v>
      </c>
      <c r="B17" s="667" t="s">
        <v>20</v>
      </c>
      <c r="C17" s="667" t="s">
        <v>195</v>
      </c>
      <c r="D17" s="668">
        <v>200000</v>
      </c>
      <c r="E17" s="690">
        <f>'2023'!N17</f>
        <v>172579.96000000002</v>
      </c>
      <c r="F17" s="669">
        <v>1.04</v>
      </c>
      <c r="G17" s="670">
        <v>2021</v>
      </c>
      <c r="H17" s="670">
        <v>2040</v>
      </c>
      <c r="I17" s="671">
        <v>11101.92</v>
      </c>
      <c r="J17" s="700">
        <v>9331.28</v>
      </c>
      <c r="K17" s="957"/>
      <c r="L17" s="701">
        <f>I17-J17</f>
        <v>1770.6399999999994</v>
      </c>
      <c r="M17" s="957"/>
      <c r="N17" s="664">
        <f>E17-J17</f>
        <v>163248.68000000002</v>
      </c>
      <c r="P17" s="771"/>
      <c r="Q17" s="771"/>
    </row>
    <row r="18" spans="1:17" s="829" customFormat="1" ht="13.5" hidden="1" thickBot="1">
      <c r="A18" s="911"/>
      <c r="B18" s="667"/>
      <c r="C18" s="667"/>
      <c r="D18" s="668"/>
      <c r="E18" s="690"/>
      <c r="F18" s="669"/>
      <c r="G18" s="857"/>
      <c r="H18" s="670"/>
      <c r="I18" s="671"/>
      <c r="J18" s="700"/>
      <c r="K18" s="958"/>
      <c r="L18" s="701">
        <f>I18-J18</f>
        <v>0</v>
      </c>
      <c r="M18" s="958"/>
      <c r="N18" s="664">
        <f>E18-J18</f>
        <v>0</v>
      </c>
      <c r="P18" s="770"/>
      <c r="Q18" s="770"/>
    </row>
    <row r="19" spans="1:14" ht="13.5" thickBot="1">
      <c r="A19" s="674"/>
      <c r="B19" s="675"/>
      <c r="C19" s="675"/>
      <c r="D19" s="676"/>
      <c r="E19" s="702" t="s">
        <v>42</v>
      </c>
      <c r="F19" s="678"/>
      <c r="G19" s="679"/>
      <c r="H19" s="680" t="s">
        <v>43</v>
      </c>
      <c r="I19" s="681">
        <f>SUM(I13:I18)</f>
        <v>22597.68</v>
      </c>
      <c r="J19" s="681">
        <f>SUM(J13:J18)</f>
        <v>16326.62</v>
      </c>
      <c r="K19" s="683"/>
      <c r="L19" s="684">
        <f t="shared" si="0"/>
        <v>6271.0599999999995</v>
      </c>
      <c r="M19" s="685"/>
      <c r="N19" s="703">
        <f>SUM(N13:N18)</f>
        <v>227052.06000000003</v>
      </c>
    </row>
    <row r="20" spans="1:17" s="673" customFormat="1" ht="12.75">
      <c r="A20" s="938" t="s">
        <v>199</v>
      </c>
      <c r="B20" s="914" t="s">
        <v>20</v>
      </c>
      <c r="C20" s="939" t="s">
        <v>93</v>
      </c>
      <c r="D20" s="928">
        <v>114950</v>
      </c>
      <c r="E20" s="929">
        <f>'2023'!N20</f>
        <v>59615.81999999999</v>
      </c>
      <c r="F20" s="930">
        <v>4.93</v>
      </c>
      <c r="G20" s="931">
        <v>2012</v>
      </c>
      <c r="H20" s="931">
        <v>2031</v>
      </c>
      <c r="I20" s="932">
        <v>9111.38</v>
      </c>
      <c r="J20" s="933">
        <v>6243.09</v>
      </c>
      <c r="K20" s="959">
        <v>3030</v>
      </c>
      <c r="L20" s="934">
        <f>I20-J20</f>
        <v>2868.289999999999</v>
      </c>
      <c r="M20" s="66">
        <v>645</v>
      </c>
      <c r="N20" s="935">
        <f>E20-J20</f>
        <v>53372.729999999996</v>
      </c>
      <c r="P20" s="771"/>
      <c r="Q20" s="771"/>
    </row>
    <row r="21" spans="1:17" s="810" customFormat="1" ht="13.5" thickBot="1">
      <c r="A21" s="926" t="s">
        <v>74</v>
      </c>
      <c r="B21" s="937" t="s">
        <v>204</v>
      </c>
      <c r="C21" s="927" t="s">
        <v>205</v>
      </c>
      <c r="D21" s="779">
        <v>160000</v>
      </c>
      <c r="E21" s="936">
        <f>'2023'!N21</f>
        <v>160000</v>
      </c>
      <c r="F21" s="921">
        <f>'2023'!F21</f>
        <v>3</v>
      </c>
      <c r="G21" s="925">
        <v>2024</v>
      </c>
      <c r="H21" s="919">
        <f>'2023'!H21</f>
        <v>2043</v>
      </c>
      <c r="I21" s="922">
        <v>10696.67</v>
      </c>
      <c r="J21" s="923">
        <v>5940.9</v>
      </c>
      <c r="K21" s="957"/>
      <c r="L21" s="824">
        <f>I21-J21</f>
        <v>4755.77</v>
      </c>
      <c r="M21" s="66"/>
      <c r="N21" s="924">
        <f>E21-J21</f>
        <v>154059.1</v>
      </c>
      <c r="P21" s="853"/>
      <c r="Q21" s="853"/>
    </row>
    <row r="22" spans="1:14" ht="13.5" thickBot="1">
      <c r="A22" s="674"/>
      <c r="B22" s="675"/>
      <c r="C22" s="675"/>
      <c r="D22" s="676"/>
      <c r="E22" s="682" t="s">
        <v>42</v>
      </c>
      <c r="F22" s="678"/>
      <c r="G22" s="680"/>
      <c r="H22" s="680" t="s">
        <v>43</v>
      </c>
      <c r="I22" s="681">
        <f>SUM(I20:I21)</f>
        <v>19808.05</v>
      </c>
      <c r="J22" s="682">
        <f>SUM(J20:J21)</f>
        <v>12183.99</v>
      </c>
      <c r="K22" s="958"/>
      <c r="L22" s="684">
        <f>SUM(L20:L21)</f>
        <v>7624.0599999999995</v>
      </c>
      <c r="M22" s="685"/>
      <c r="N22" s="703">
        <f>SUM(N20:N21)</f>
        <v>207431.83000000002</v>
      </c>
    </row>
    <row r="23" spans="1:14" ht="12.75" hidden="1">
      <c r="A23" s="714" t="s">
        <v>28</v>
      </c>
      <c r="B23" s="688" t="s">
        <v>20</v>
      </c>
      <c r="C23" s="688" t="s">
        <v>29</v>
      </c>
      <c r="D23" s="689">
        <v>17559.53</v>
      </c>
      <c r="E23" s="726">
        <f>'2022'!N22</f>
        <v>0</v>
      </c>
      <c r="F23" s="691">
        <v>5.75</v>
      </c>
      <c r="G23" s="692">
        <v>2001</v>
      </c>
      <c r="H23" s="775">
        <v>2020</v>
      </c>
      <c r="I23" s="693"/>
      <c r="J23" s="715"/>
      <c r="K23" s="35"/>
      <c r="L23" s="715">
        <f t="shared" si="0"/>
        <v>0</v>
      </c>
      <c r="M23" s="35"/>
      <c r="N23" s="716">
        <f t="shared" si="1"/>
        <v>0</v>
      </c>
    </row>
    <row r="24" spans="1:14" ht="12.75" hidden="1">
      <c r="A24" s="654">
        <v>4364549</v>
      </c>
      <c r="B24" s="655" t="s">
        <v>20</v>
      </c>
      <c r="C24" s="655" t="s">
        <v>29</v>
      </c>
      <c r="D24" s="656">
        <v>137377.54</v>
      </c>
      <c r="E24" s="690">
        <f>'2022'!N23</f>
        <v>0</v>
      </c>
      <c r="F24" s="658">
        <v>5.75</v>
      </c>
      <c r="G24" s="659">
        <v>2001</v>
      </c>
      <c r="H24" s="774">
        <v>2020</v>
      </c>
      <c r="I24" s="660"/>
      <c r="J24" s="661"/>
      <c r="K24" s="35"/>
      <c r="L24" s="661">
        <f t="shared" si="0"/>
        <v>0</v>
      </c>
      <c r="M24" s="35"/>
      <c r="N24" s="664">
        <f t="shared" si="1"/>
        <v>0</v>
      </c>
    </row>
    <row r="25" spans="1:14" ht="13.5" customHeight="1">
      <c r="A25" s="717" t="s">
        <v>201</v>
      </c>
      <c r="B25" s="655" t="s">
        <v>20</v>
      </c>
      <c r="C25" s="655" t="s">
        <v>29</v>
      </c>
      <c r="D25" s="668">
        <v>160000</v>
      </c>
      <c r="E25" s="690">
        <f>'2023'!N25</f>
        <v>21270.699999999997</v>
      </c>
      <c r="F25" s="669">
        <v>3.4</v>
      </c>
      <c r="G25" s="670">
        <v>2006</v>
      </c>
      <c r="H25" s="907">
        <v>2025</v>
      </c>
      <c r="I25" s="671">
        <v>11091.2</v>
      </c>
      <c r="J25" s="672">
        <v>10456.12</v>
      </c>
      <c r="K25" s="957">
        <v>3030</v>
      </c>
      <c r="L25" s="672">
        <f t="shared" si="0"/>
        <v>635.0799999999999</v>
      </c>
      <c r="M25" s="35"/>
      <c r="N25" s="664">
        <f t="shared" si="1"/>
        <v>10814.579999999996</v>
      </c>
    </row>
    <row r="26" spans="1:14" ht="12.75">
      <c r="A26" s="717" t="s">
        <v>200</v>
      </c>
      <c r="B26" s="655" t="s">
        <v>20</v>
      </c>
      <c r="C26" s="655" t="s">
        <v>29</v>
      </c>
      <c r="D26" s="668">
        <v>53000</v>
      </c>
      <c r="E26" s="690">
        <f>'2023'!N26</f>
        <v>7045.909999999998</v>
      </c>
      <c r="F26" s="669">
        <v>3.4</v>
      </c>
      <c r="G26" s="670">
        <v>2006</v>
      </c>
      <c r="H26" s="670">
        <v>2026</v>
      </c>
      <c r="I26" s="671">
        <v>3673.96</v>
      </c>
      <c r="J26" s="672">
        <v>3463.59</v>
      </c>
      <c r="K26" s="957"/>
      <c r="L26" s="672">
        <f t="shared" si="0"/>
        <v>210.3699999999999</v>
      </c>
      <c r="M26" s="35"/>
      <c r="N26" s="664">
        <f t="shared" si="1"/>
        <v>3582.319999999998</v>
      </c>
    </row>
    <row r="27" spans="1:14" ht="12.75">
      <c r="A27" s="717" t="s">
        <v>76</v>
      </c>
      <c r="B27" s="655" t="s">
        <v>20</v>
      </c>
      <c r="C27" s="655" t="s">
        <v>73</v>
      </c>
      <c r="D27" s="668">
        <v>100000</v>
      </c>
      <c r="E27" s="690">
        <f>'2023'!N27</f>
        <v>13626.199999999997</v>
      </c>
      <c r="F27" s="669">
        <v>3.72</v>
      </c>
      <c r="G27" s="670">
        <v>2006</v>
      </c>
      <c r="H27" s="907">
        <v>2025</v>
      </c>
      <c r="I27" s="671">
        <v>7132.84</v>
      </c>
      <c r="J27" s="672">
        <v>6687.56</v>
      </c>
      <c r="K27" s="957"/>
      <c r="L27" s="672">
        <f t="shared" si="0"/>
        <v>445.27999999999975</v>
      </c>
      <c r="M27" s="35"/>
      <c r="N27" s="664">
        <f t="shared" si="1"/>
        <v>6938.639999999997</v>
      </c>
    </row>
    <row r="28" spans="1:17" s="718" customFormat="1" ht="12.75">
      <c r="A28" s="717" t="s">
        <v>104</v>
      </c>
      <c r="B28" s="655" t="s">
        <v>20</v>
      </c>
      <c r="C28" s="655" t="s">
        <v>78</v>
      </c>
      <c r="D28" s="668">
        <v>120000</v>
      </c>
      <c r="E28" s="690">
        <f>'2023'!N28</f>
        <v>47258.09000000002</v>
      </c>
      <c r="F28" s="669">
        <v>4.32</v>
      </c>
      <c r="G28" s="670">
        <v>2010</v>
      </c>
      <c r="H28" s="670">
        <v>2029</v>
      </c>
      <c r="I28" s="671">
        <v>9027.68</v>
      </c>
      <c r="J28" s="672">
        <v>7057.89</v>
      </c>
      <c r="K28" s="957"/>
      <c r="L28" s="672">
        <f t="shared" si="0"/>
        <v>1969.79</v>
      </c>
      <c r="M28" s="35">
        <v>760</v>
      </c>
      <c r="N28" s="664">
        <f t="shared" si="1"/>
        <v>40200.20000000002</v>
      </c>
      <c r="O28" s="174"/>
      <c r="P28" s="773"/>
      <c r="Q28" s="773"/>
    </row>
    <row r="29" spans="1:17" s="718" customFormat="1" ht="12.75">
      <c r="A29" s="717" t="s">
        <v>103</v>
      </c>
      <c r="B29" s="667" t="s">
        <v>20</v>
      </c>
      <c r="C29" s="719" t="s">
        <v>107</v>
      </c>
      <c r="D29" s="668">
        <v>90000</v>
      </c>
      <c r="E29" s="690">
        <f>'2023'!N29</f>
        <v>35403.869999999995</v>
      </c>
      <c r="F29" s="669">
        <v>4.3</v>
      </c>
      <c r="G29" s="670">
        <v>2010</v>
      </c>
      <c r="H29" s="670">
        <v>2029</v>
      </c>
      <c r="I29" s="671">
        <v>6759.04</v>
      </c>
      <c r="J29" s="700">
        <v>5290.21</v>
      </c>
      <c r="K29" s="957"/>
      <c r="L29" s="701">
        <f t="shared" si="0"/>
        <v>1468.83</v>
      </c>
      <c r="M29" s="66"/>
      <c r="N29" s="664">
        <f t="shared" si="1"/>
        <v>30113.659999999996</v>
      </c>
      <c r="O29" s="174"/>
      <c r="P29" s="773"/>
      <c r="Q29" s="773"/>
    </row>
    <row r="30" spans="1:17" s="718" customFormat="1" ht="12.75">
      <c r="A30" s="717" t="s">
        <v>117</v>
      </c>
      <c r="B30" s="667" t="s">
        <v>20</v>
      </c>
      <c r="C30" s="719" t="s">
        <v>108</v>
      </c>
      <c r="D30" s="668">
        <v>152925</v>
      </c>
      <c r="E30" s="690">
        <f>'2023'!N30</f>
        <v>68767.36999999998</v>
      </c>
      <c r="F30" s="669">
        <v>4.43</v>
      </c>
      <c r="G30" s="670">
        <v>2011</v>
      </c>
      <c r="H30" s="670">
        <v>2029</v>
      </c>
      <c r="I30" s="671">
        <v>11483.74</v>
      </c>
      <c r="J30" s="700">
        <v>8613.7</v>
      </c>
      <c r="K30" s="957"/>
      <c r="L30" s="701">
        <f t="shared" si="0"/>
        <v>2870.039999999999</v>
      </c>
      <c r="M30" s="66"/>
      <c r="N30" s="720">
        <f t="shared" si="1"/>
        <v>60153.669999999984</v>
      </c>
      <c r="P30" s="773"/>
      <c r="Q30" s="773"/>
    </row>
    <row r="31" spans="1:17" s="718" customFormat="1" ht="17.25" customHeight="1" thickBot="1">
      <c r="A31" s="717" t="s">
        <v>198</v>
      </c>
      <c r="B31" s="667" t="s">
        <v>20</v>
      </c>
      <c r="C31" s="730" t="s">
        <v>109</v>
      </c>
      <c r="D31" s="668">
        <v>140000</v>
      </c>
      <c r="E31" s="778">
        <f>'2023'!N31</f>
        <v>37521.81</v>
      </c>
      <c r="F31" s="669">
        <v>6.51</v>
      </c>
      <c r="G31" s="670">
        <v>2012</v>
      </c>
      <c r="H31" s="670">
        <v>2031</v>
      </c>
      <c r="I31" s="671">
        <v>6092.5</v>
      </c>
      <c r="J31" s="700">
        <v>3707.38</v>
      </c>
      <c r="K31" s="957"/>
      <c r="L31" s="701">
        <f t="shared" si="0"/>
        <v>2385.12</v>
      </c>
      <c r="M31" s="66"/>
      <c r="N31" s="776">
        <f t="shared" si="1"/>
        <v>33814.43</v>
      </c>
      <c r="P31" s="773"/>
      <c r="Q31" s="773"/>
    </row>
    <row r="32" spans="1:17" s="718" customFormat="1" ht="13.5" hidden="1" thickBot="1">
      <c r="A32" s="855"/>
      <c r="B32" s="667"/>
      <c r="C32" s="730"/>
      <c r="D32" s="856"/>
      <c r="E32" s="726"/>
      <c r="F32" s="669"/>
      <c r="G32" s="857"/>
      <c r="H32" s="670"/>
      <c r="I32" s="858"/>
      <c r="J32" s="859"/>
      <c r="K32" s="66"/>
      <c r="L32" s="701">
        <f t="shared" si="0"/>
        <v>0</v>
      </c>
      <c r="M32" s="66"/>
      <c r="N32" s="776">
        <f t="shared" si="1"/>
        <v>0</v>
      </c>
      <c r="P32" s="773"/>
      <c r="Q32" s="773"/>
    </row>
    <row r="33" spans="1:17" s="718" customFormat="1" ht="13.5" hidden="1" thickBot="1">
      <c r="A33" s="843"/>
      <c r="B33" s="721"/>
      <c r="C33" s="721"/>
      <c r="D33" s="845"/>
      <c r="E33" s="778"/>
      <c r="F33" s="722"/>
      <c r="G33" s="842"/>
      <c r="H33" s="723"/>
      <c r="I33" s="849"/>
      <c r="J33" s="850"/>
      <c r="K33" s="653"/>
      <c r="L33" s="724">
        <f>I33-J33</f>
        <v>0</v>
      </c>
      <c r="M33" s="653"/>
      <c r="N33" s="756">
        <f>E33-J33</f>
        <v>0</v>
      </c>
      <c r="P33" s="773"/>
      <c r="Q33" s="773"/>
    </row>
    <row r="34" spans="1:14" ht="13.5" thickBot="1">
      <c r="A34" s="674"/>
      <c r="B34" s="675"/>
      <c r="C34" s="675"/>
      <c r="D34" s="676"/>
      <c r="E34" s="725" t="s">
        <v>42</v>
      </c>
      <c r="F34" s="678"/>
      <c r="G34" s="679"/>
      <c r="H34" s="680" t="s">
        <v>43</v>
      </c>
      <c r="I34" s="681">
        <f>SUM(I23:I33)</f>
        <v>55260.96</v>
      </c>
      <c r="J34" s="682">
        <f>SUM(J23:J33)</f>
        <v>45276.450000000004</v>
      </c>
      <c r="K34" s="685"/>
      <c r="L34" s="684">
        <f t="shared" si="0"/>
        <v>9984.509999999995</v>
      </c>
      <c r="M34" s="685"/>
      <c r="N34" s="703">
        <f>SUM(N23:N33)</f>
        <v>185617.49999999997</v>
      </c>
    </row>
    <row r="35" spans="1:14" ht="13.5" hidden="1" thickBot="1">
      <c r="A35" s="714" t="s">
        <v>32</v>
      </c>
      <c r="B35" s="688" t="s">
        <v>20</v>
      </c>
      <c r="C35" s="688" t="s">
        <v>33</v>
      </c>
      <c r="D35" s="689">
        <v>13180.75</v>
      </c>
      <c r="E35" s="726">
        <f>'2022'!N34</f>
        <v>0</v>
      </c>
      <c r="F35" s="691">
        <v>6.5</v>
      </c>
      <c r="G35" s="692">
        <v>1998</v>
      </c>
      <c r="H35" s="692">
        <v>2017</v>
      </c>
      <c r="I35" s="693">
        <v>0</v>
      </c>
      <c r="J35" s="715"/>
      <c r="K35" s="35"/>
      <c r="L35" s="715">
        <f t="shared" si="0"/>
        <v>0</v>
      </c>
      <c r="M35" s="35"/>
      <c r="N35" s="727">
        <f t="shared" si="1"/>
        <v>0</v>
      </c>
    </row>
    <row r="36" spans="1:14" ht="13.5" hidden="1" thickBot="1">
      <c r="A36" s="654">
        <v>4317937</v>
      </c>
      <c r="B36" s="655" t="s">
        <v>20</v>
      </c>
      <c r="C36" s="655" t="s">
        <v>33</v>
      </c>
      <c r="D36" s="656">
        <v>90110.63</v>
      </c>
      <c r="E36" s="726">
        <f>'2022'!N35</f>
        <v>0</v>
      </c>
      <c r="F36" s="658">
        <v>6.5</v>
      </c>
      <c r="G36" s="659">
        <v>1998</v>
      </c>
      <c r="H36" s="659">
        <v>2017</v>
      </c>
      <c r="I36" s="660">
        <v>0</v>
      </c>
      <c r="J36" s="661"/>
      <c r="K36" s="35">
        <v>3030</v>
      </c>
      <c r="L36" s="661">
        <f t="shared" si="0"/>
        <v>0</v>
      </c>
      <c r="M36" s="35">
        <v>820</v>
      </c>
      <c r="N36" s="664">
        <f t="shared" si="1"/>
        <v>0</v>
      </c>
    </row>
    <row r="37" spans="1:14" ht="13.5" hidden="1" thickBot="1">
      <c r="A37" s="665" t="s">
        <v>34</v>
      </c>
      <c r="B37" s="655" t="s">
        <v>20</v>
      </c>
      <c r="C37" s="655" t="s">
        <v>33</v>
      </c>
      <c r="D37" s="656">
        <v>51645.69</v>
      </c>
      <c r="E37" s="726">
        <f>'2022'!N36</f>
        <v>0</v>
      </c>
      <c r="F37" s="658">
        <v>6.5</v>
      </c>
      <c r="G37" s="659">
        <v>1998</v>
      </c>
      <c r="H37" s="659">
        <v>2017</v>
      </c>
      <c r="I37" s="660">
        <v>0</v>
      </c>
      <c r="J37" s="661"/>
      <c r="K37" s="35"/>
      <c r="L37" s="661">
        <f t="shared" si="0"/>
        <v>0</v>
      </c>
      <c r="M37" s="35"/>
      <c r="N37" s="664">
        <f t="shared" si="1"/>
        <v>0</v>
      </c>
    </row>
    <row r="38" spans="1:14" ht="13.5" hidden="1" thickBot="1">
      <c r="A38" s="674"/>
      <c r="B38" s="675"/>
      <c r="C38" s="675"/>
      <c r="D38" s="676"/>
      <c r="E38" s="682" t="s">
        <v>42</v>
      </c>
      <c r="F38" s="678"/>
      <c r="G38" s="679"/>
      <c r="H38" s="680" t="s">
        <v>43</v>
      </c>
      <c r="I38" s="681">
        <f>SUM(I35:I37)</f>
        <v>0</v>
      </c>
      <c r="J38" s="682">
        <f>SUM(J35:J37)</f>
        <v>0</v>
      </c>
      <c r="K38" s="685"/>
      <c r="L38" s="684">
        <f t="shared" si="0"/>
        <v>0</v>
      </c>
      <c r="M38" s="685"/>
      <c r="N38" s="703">
        <f>SUM(N35:N37)</f>
        <v>0</v>
      </c>
    </row>
    <row r="39" spans="1:14" ht="12.75">
      <c r="A39" s="687">
        <v>4444717</v>
      </c>
      <c r="B39" s="802" t="s">
        <v>181</v>
      </c>
      <c r="C39" s="688" t="s">
        <v>38</v>
      </c>
      <c r="D39" s="689">
        <v>98000</v>
      </c>
      <c r="E39" s="726">
        <f>'2023'!N39</f>
        <v>7331.239999999999</v>
      </c>
      <c r="F39" s="691">
        <v>0.97</v>
      </c>
      <c r="G39" s="692">
        <v>2004</v>
      </c>
      <c r="H39" s="951">
        <v>2024</v>
      </c>
      <c r="I39" s="952">
        <f>'2023'!N39</f>
        <v>7331.239999999999</v>
      </c>
      <c r="J39" s="953">
        <f>I39</f>
        <v>7331.239999999999</v>
      </c>
      <c r="K39" s="959">
        <v>3030</v>
      </c>
      <c r="L39" s="715">
        <v>0</v>
      </c>
      <c r="M39" s="959">
        <v>910</v>
      </c>
      <c r="N39" s="727"/>
    </row>
    <row r="40" spans="1:14" ht="12.75" customHeight="1" hidden="1">
      <c r="A40" s="654">
        <v>4388738</v>
      </c>
      <c r="B40" s="803" t="s">
        <v>181</v>
      </c>
      <c r="C40" s="655" t="s">
        <v>38</v>
      </c>
      <c r="D40" s="656">
        <v>103291.38</v>
      </c>
      <c r="E40" s="880">
        <f>'2023'!N40</f>
        <v>0</v>
      </c>
      <c r="F40" s="658">
        <v>5.5</v>
      </c>
      <c r="G40" s="659">
        <v>2002</v>
      </c>
      <c r="H40" s="860">
        <v>2022</v>
      </c>
      <c r="I40" s="881"/>
      <c r="J40" s="882"/>
      <c r="K40" s="957"/>
      <c r="L40" s="661">
        <f t="shared" si="0"/>
        <v>0</v>
      </c>
      <c r="M40" s="957"/>
      <c r="N40" s="664">
        <f t="shared" si="1"/>
        <v>0</v>
      </c>
    </row>
    <row r="41" spans="1:14" ht="12.75" customHeight="1" hidden="1">
      <c r="A41" s="654">
        <v>4363583</v>
      </c>
      <c r="B41" s="655" t="s">
        <v>20</v>
      </c>
      <c r="C41" s="655" t="s">
        <v>38</v>
      </c>
      <c r="D41" s="656">
        <v>49982.94</v>
      </c>
      <c r="E41" s="726">
        <f>'2023'!N41</f>
        <v>0</v>
      </c>
      <c r="F41" s="658">
        <v>5.75</v>
      </c>
      <c r="G41" s="659">
        <v>2001</v>
      </c>
      <c r="H41" s="774">
        <v>2020</v>
      </c>
      <c r="I41" s="660"/>
      <c r="J41" s="661"/>
      <c r="K41" s="957"/>
      <c r="L41" s="661">
        <f t="shared" si="0"/>
        <v>0</v>
      </c>
      <c r="M41" s="957"/>
      <c r="N41" s="664">
        <f t="shared" si="1"/>
        <v>0</v>
      </c>
    </row>
    <row r="42" spans="1:14" ht="12.75" customHeight="1" hidden="1">
      <c r="A42" s="699">
        <v>4317938</v>
      </c>
      <c r="B42" s="667" t="s">
        <v>20</v>
      </c>
      <c r="C42" s="667" t="s">
        <v>38</v>
      </c>
      <c r="D42" s="668">
        <v>50396.44</v>
      </c>
      <c r="E42" s="726">
        <f>'2023'!N42</f>
        <v>0</v>
      </c>
      <c r="F42" s="669">
        <v>6.5</v>
      </c>
      <c r="G42" s="670">
        <v>1998</v>
      </c>
      <c r="H42" s="670">
        <v>2017</v>
      </c>
      <c r="I42" s="671"/>
      <c r="J42" s="672"/>
      <c r="K42" s="957"/>
      <c r="L42" s="672">
        <f>I42-J42</f>
        <v>0</v>
      </c>
      <c r="M42" s="957"/>
      <c r="N42" s="728">
        <f>E42-J42</f>
        <v>0</v>
      </c>
    </row>
    <row r="43" spans="1:14" ht="13.5" thickBot="1">
      <c r="A43" s="717" t="s">
        <v>94</v>
      </c>
      <c r="B43" s="655" t="s">
        <v>20</v>
      </c>
      <c r="C43" s="655" t="s">
        <v>85</v>
      </c>
      <c r="D43" s="668">
        <v>130000</v>
      </c>
      <c r="E43" s="726">
        <f>'2023'!N43</f>
        <v>43713.54000000001</v>
      </c>
      <c r="F43" s="669">
        <v>4.39</v>
      </c>
      <c r="G43" s="670">
        <v>2008</v>
      </c>
      <c r="H43" s="670">
        <v>2028</v>
      </c>
      <c r="I43" s="671">
        <v>9832.52</v>
      </c>
      <c r="J43" s="672">
        <v>8000.35</v>
      </c>
      <c r="K43" s="958"/>
      <c r="L43" s="672">
        <f>I43-J43</f>
        <v>1832.17</v>
      </c>
      <c r="M43" s="958"/>
      <c r="N43" s="664">
        <f>E43-J43</f>
        <v>35713.19000000001</v>
      </c>
    </row>
    <row r="44" spans="1:14" ht="13.5" thickBot="1">
      <c r="A44" s="729"/>
      <c r="B44" s="675"/>
      <c r="C44" s="675"/>
      <c r="D44" s="676"/>
      <c r="E44" s="682" t="s">
        <v>42</v>
      </c>
      <c r="F44" s="678"/>
      <c r="G44" s="679"/>
      <c r="H44" s="680" t="s">
        <v>43</v>
      </c>
      <c r="I44" s="681">
        <f>SUM(I39:I43)</f>
        <v>17163.76</v>
      </c>
      <c r="J44" s="682">
        <f>SUM(J39:J43)</f>
        <v>15331.59</v>
      </c>
      <c r="K44" s="685"/>
      <c r="L44" s="682">
        <f t="shared" si="0"/>
        <v>1832.1699999999983</v>
      </c>
      <c r="M44" s="685"/>
      <c r="N44" s="703">
        <f>SUM(N39:N43)</f>
        <v>35713.19000000001</v>
      </c>
    </row>
    <row r="45" spans="1:17" s="673" customFormat="1" ht="15.75" customHeight="1" thickBot="1">
      <c r="A45" s="717" t="s">
        <v>105</v>
      </c>
      <c r="B45" s="667" t="s">
        <v>20</v>
      </c>
      <c r="C45" s="730" t="s">
        <v>100</v>
      </c>
      <c r="D45" s="668">
        <v>50000</v>
      </c>
      <c r="E45" s="731">
        <f>'2023'!N45</f>
        <v>19690.899999999998</v>
      </c>
      <c r="F45" s="669">
        <v>4.32</v>
      </c>
      <c r="G45" s="670">
        <v>2010</v>
      </c>
      <c r="H45" s="670">
        <v>2029</v>
      </c>
      <c r="I45" s="671">
        <v>3761.52</v>
      </c>
      <c r="J45" s="700">
        <v>2940.78</v>
      </c>
      <c r="K45" s="66">
        <v>3030</v>
      </c>
      <c r="L45" s="701">
        <f>I45-J45</f>
        <v>820.7399999999998</v>
      </c>
      <c r="M45" s="66">
        <v>930</v>
      </c>
      <c r="N45" s="664">
        <f>E45-J45</f>
        <v>16750.12</v>
      </c>
      <c r="P45" s="771"/>
      <c r="Q45" s="771"/>
    </row>
    <row r="46" spans="1:14" ht="13.5" thickBot="1">
      <c r="A46" s="674"/>
      <c r="B46" s="675"/>
      <c r="C46" s="675"/>
      <c r="D46" s="676"/>
      <c r="E46" s="682" t="s">
        <v>42</v>
      </c>
      <c r="F46" s="678"/>
      <c r="G46" s="679"/>
      <c r="H46" s="680" t="s">
        <v>43</v>
      </c>
      <c r="I46" s="681">
        <f>SUM(I45:I45)</f>
        <v>3761.52</v>
      </c>
      <c r="J46" s="828">
        <f>SUM(J45:J45)</f>
        <v>2940.78</v>
      </c>
      <c r="K46" s="685"/>
      <c r="L46" s="684">
        <f t="shared" si="0"/>
        <v>820.7399999999998</v>
      </c>
      <c r="M46" s="685"/>
      <c r="N46" s="703">
        <f>SUM(N45:N45)</f>
        <v>16750.12</v>
      </c>
    </row>
    <row r="47" spans="1:14" ht="13.5" hidden="1" thickBot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715">
        <f t="shared" si="0"/>
        <v>0</v>
      </c>
      <c r="M47" s="66"/>
      <c r="N47" s="741">
        <f t="shared" si="1"/>
        <v>0</v>
      </c>
    </row>
    <row r="48" spans="1:14" ht="13.5" hidden="1" thickBot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0"/>
        <v>0</v>
      </c>
      <c r="M48" s="27"/>
      <c r="N48" s="741">
        <f t="shared" si="1"/>
        <v>0</v>
      </c>
    </row>
    <row r="49" spans="1:14" ht="13.5" hidden="1" thickBot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0"/>
        <v>0</v>
      </c>
      <c r="M49" s="27"/>
      <c r="N49" s="741">
        <f t="shared" si="1"/>
        <v>0</v>
      </c>
    </row>
    <row r="50" spans="1:14" ht="13.5" hidden="1" thickBot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0"/>
        <v>0</v>
      </c>
      <c r="M50" s="27"/>
      <c r="N50" s="741">
        <f t="shared" si="1"/>
        <v>0</v>
      </c>
    </row>
    <row r="51" spans="1:14" ht="13.5" hidden="1" thickBot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0"/>
        <v>0</v>
      </c>
      <c r="M51" s="27"/>
      <c r="N51" s="741">
        <f t="shared" si="1"/>
        <v>0</v>
      </c>
    </row>
    <row r="52" spans="1:14" ht="13.5" hidden="1" thickBot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0"/>
        <v>0</v>
      </c>
      <c r="M52" s="27"/>
      <c r="N52" s="741">
        <f t="shared" si="1"/>
        <v>0</v>
      </c>
    </row>
    <row r="53" spans="1:14" ht="13.5" hidden="1" thickBot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0"/>
        <v>0</v>
      </c>
      <c r="M53" s="27"/>
      <c r="N53" s="741">
        <f t="shared" si="1"/>
        <v>0</v>
      </c>
    </row>
    <row r="54" spans="1:14" ht="13.5" hidden="1" thickBot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0"/>
        <v>0</v>
      </c>
      <c r="M54" s="27"/>
      <c r="N54" s="741">
        <f t="shared" si="1"/>
        <v>0</v>
      </c>
    </row>
    <row r="55" spans="1:14" ht="13.5" hidden="1" thickBot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0"/>
        <v>0</v>
      </c>
      <c r="M55" s="27"/>
      <c r="N55" s="741">
        <f t="shared" si="1"/>
        <v>0</v>
      </c>
    </row>
    <row r="56" spans="1:14" ht="13.5" hidden="1" thickBot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0"/>
        <v>0</v>
      </c>
      <c r="M56" s="27"/>
      <c r="N56" s="741">
        <f t="shared" si="1"/>
        <v>0</v>
      </c>
    </row>
    <row r="57" spans="1:14" ht="13.5" hidden="1" thickBot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0"/>
        <v>0</v>
      </c>
      <c r="M57" s="27"/>
      <c r="N57" s="741">
        <f t="shared" si="1"/>
        <v>0</v>
      </c>
    </row>
    <row r="58" spans="1:14" ht="13.5" hidden="1" thickBot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0"/>
        <v>0</v>
      </c>
      <c r="M58" s="27"/>
      <c r="N58" s="741">
        <f t="shared" si="1"/>
        <v>0</v>
      </c>
    </row>
    <row r="59" spans="1:14" ht="13.5" hidden="1" thickBot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0"/>
        <v>0</v>
      </c>
      <c r="M59" s="27"/>
      <c r="N59" s="741">
        <f t="shared" si="1"/>
        <v>0</v>
      </c>
    </row>
    <row r="60" spans="1:14" ht="13.5" hidden="1" thickBot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0"/>
        <v>0</v>
      </c>
      <c r="M60" s="27"/>
      <c r="N60" s="741">
        <f t="shared" si="1"/>
        <v>0</v>
      </c>
    </row>
    <row r="61" spans="1:14" ht="13.5" hidden="1" thickBot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0"/>
        <v>0</v>
      </c>
      <c r="M61" s="27"/>
      <c r="N61" s="741">
        <f t="shared" si="1"/>
        <v>0</v>
      </c>
    </row>
    <row r="62" spans="1:14" ht="13.5" hidden="1" thickBot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0"/>
        <v>0</v>
      </c>
      <c r="M62" s="27"/>
      <c r="N62" s="741">
        <f t="shared" si="1"/>
        <v>0</v>
      </c>
    </row>
    <row r="63" spans="1:14" ht="13.5" hidden="1" thickBot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0"/>
        <v>0</v>
      </c>
      <c r="M63" s="27"/>
      <c r="N63" s="741">
        <f t="shared" si="1"/>
        <v>0</v>
      </c>
    </row>
    <row r="64" spans="1:14" ht="13.5" hidden="1" thickBot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0"/>
        <v>0</v>
      </c>
      <c r="M64" s="27"/>
      <c r="N64" s="741">
        <f t="shared" si="1"/>
        <v>0</v>
      </c>
    </row>
    <row r="65" spans="1:14" ht="13.5" hidden="1" thickBot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0"/>
        <v>0</v>
      </c>
      <c r="M65" s="27"/>
      <c r="N65" s="741">
        <f t="shared" si="1"/>
        <v>0</v>
      </c>
    </row>
    <row r="66" spans="1:14" ht="13.5" hidden="1" thickBot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0"/>
        <v>0</v>
      </c>
      <c r="M66" s="27"/>
      <c r="N66" s="741">
        <f t="shared" si="1"/>
        <v>0</v>
      </c>
    </row>
    <row r="67" spans="1:14" ht="13.5" hidden="1" thickBot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0"/>
        <v>0</v>
      </c>
      <c r="M67" s="27"/>
      <c r="N67" s="741">
        <f t="shared" si="1"/>
        <v>0</v>
      </c>
    </row>
    <row r="68" spans="1:14" ht="13.5" hidden="1" thickBot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 t="shared" si="0"/>
        <v>0</v>
      </c>
      <c r="M68" s="27"/>
      <c r="N68" s="741">
        <f t="shared" si="1"/>
        <v>0</v>
      </c>
    </row>
    <row r="69" spans="1:14" ht="13.5" hidden="1" thickBot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 t="shared" si="0"/>
        <v>0</v>
      </c>
      <c r="M69" s="27"/>
      <c r="N69" s="741">
        <f t="shared" si="1"/>
        <v>0</v>
      </c>
    </row>
    <row r="70" spans="1:14" ht="13.5" hidden="1" thickBot="1">
      <c r="A70" s="733"/>
      <c r="B70" s="734"/>
      <c r="C70" s="734"/>
      <c r="D70" s="735"/>
      <c r="E70" s="736"/>
      <c r="F70" s="737"/>
      <c r="G70" s="738"/>
      <c r="H70" s="738"/>
      <c r="I70" s="739"/>
      <c r="J70" s="736"/>
      <c r="K70" s="740"/>
      <c r="L70" s="661">
        <f t="shared" si="0"/>
        <v>0</v>
      </c>
      <c r="M70" s="27"/>
      <c r="N70" s="741">
        <f t="shared" si="1"/>
        <v>0</v>
      </c>
    </row>
    <row r="71" spans="1:14" ht="13.5" hidden="1" thickBot="1">
      <c r="A71" s="733"/>
      <c r="B71" s="734"/>
      <c r="C71" s="734"/>
      <c r="D71" s="735"/>
      <c r="E71" s="736"/>
      <c r="F71" s="737"/>
      <c r="G71" s="738"/>
      <c r="H71" s="738"/>
      <c r="I71" s="739"/>
      <c r="J71" s="736"/>
      <c r="K71" s="740"/>
      <c r="L71" s="661">
        <f t="shared" si="0"/>
        <v>0</v>
      </c>
      <c r="M71" s="27"/>
      <c r="N71" s="741">
        <f t="shared" si="1"/>
        <v>0</v>
      </c>
    </row>
    <row r="72" spans="1:14" ht="13.5" hidden="1" thickBot="1">
      <c r="A72" s="733"/>
      <c r="B72" s="734"/>
      <c r="C72" s="734"/>
      <c r="D72" s="735"/>
      <c r="E72" s="736"/>
      <c r="F72" s="737"/>
      <c r="G72" s="738"/>
      <c r="H72" s="738"/>
      <c r="I72" s="739"/>
      <c r="J72" s="736"/>
      <c r="K72" s="740"/>
      <c r="L72" s="661">
        <f t="shared" si="0"/>
        <v>0</v>
      </c>
      <c r="M72" s="27"/>
      <c r="N72" s="741">
        <f t="shared" si="1"/>
        <v>0</v>
      </c>
    </row>
    <row r="73" spans="1:14" ht="13.5" hidden="1" thickBot="1">
      <c r="A73" s="733"/>
      <c r="B73" s="734"/>
      <c r="C73" s="734"/>
      <c r="D73" s="735"/>
      <c r="E73" s="736"/>
      <c r="F73" s="737"/>
      <c r="G73" s="738"/>
      <c r="H73" s="738"/>
      <c r="I73" s="739"/>
      <c r="J73" s="736"/>
      <c r="K73" s="740"/>
      <c r="L73" s="661">
        <f>I73-J73</f>
        <v>0</v>
      </c>
      <c r="M73" s="27"/>
      <c r="N73" s="741">
        <f>E73-J73</f>
        <v>0</v>
      </c>
    </row>
    <row r="74" spans="1:14" ht="13.5" hidden="1" thickBot="1">
      <c r="A74" s="733"/>
      <c r="B74" s="734"/>
      <c r="C74" s="734"/>
      <c r="D74" s="735"/>
      <c r="E74" s="736"/>
      <c r="F74" s="737"/>
      <c r="G74" s="738"/>
      <c r="H74" s="738"/>
      <c r="I74" s="739"/>
      <c r="J74" s="736"/>
      <c r="K74" s="740"/>
      <c r="L74" s="661">
        <f>I74-J74</f>
        <v>0</v>
      </c>
      <c r="M74" s="27"/>
      <c r="N74" s="741">
        <f>E74-J74</f>
        <v>0</v>
      </c>
    </row>
    <row r="75" spans="1:14" ht="13.5" hidden="1" thickBot="1">
      <c r="A75" s="742"/>
      <c r="B75" s="705"/>
      <c r="C75" s="705"/>
      <c r="D75" s="706"/>
      <c r="E75" s="743"/>
      <c r="F75" s="708"/>
      <c r="G75" s="709"/>
      <c r="H75" s="709"/>
      <c r="I75" s="710"/>
      <c r="J75" s="743"/>
      <c r="K75" s="744"/>
      <c r="L75" s="672">
        <f>I75-J75</f>
        <v>0</v>
      </c>
      <c r="M75" s="27"/>
      <c r="N75" s="713">
        <f>E75-J75</f>
        <v>0</v>
      </c>
    </row>
    <row r="76" spans="1:14" ht="14.25" thickBot="1" thickTop="1">
      <c r="A76" s="745"/>
      <c r="B76" s="746"/>
      <c r="C76" s="747" t="s">
        <v>8</v>
      </c>
      <c r="D76" s="748">
        <f>SUM(D3:D75)</f>
        <v>3617706.9799999995</v>
      </c>
      <c r="E76" s="749">
        <f>SUM(E3:E75)</f>
        <v>830634.7600000001</v>
      </c>
      <c r="F76" s="135"/>
      <c r="G76" s="135"/>
      <c r="H76" s="135"/>
      <c r="I76" s="750">
        <f>+I12+I19+I22+I34+I38+I44+I46</f>
        <v>159978.62</v>
      </c>
      <c r="J76" s="750">
        <f>+J12+J19+J22+J34+J38+J44+J46</f>
        <v>132007.16000000003</v>
      </c>
      <c r="K76" s="135"/>
      <c r="L76" s="750">
        <f>+L12+L19+L22+L34+L38+L44+L46</f>
        <v>27971.459999999985</v>
      </c>
      <c r="M76" s="135"/>
      <c r="N76" s="751">
        <f>+N12+N19+N22+N34+N38+N44+N46</f>
        <v>698627.6000000001</v>
      </c>
    </row>
    <row r="77" ht="13.5" thickTop="1"/>
    <row r="78" spans="9:17" s="883" customFormat="1" ht="9.75">
      <c r="I78" s="875">
        <f>I3+I39</f>
        <v>38357.390000000014</v>
      </c>
      <c r="J78" s="875">
        <f>J3+J39</f>
        <v>38357.390000000014</v>
      </c>
      <c r="K78" s="879"/>
      <c r="L78" s="875">
        <f>L3+L39</f>
        <v>0</v>
      </c>
      <c r="M78" s="884" t="s">
        <v>181</v>
      </c>
      <c r="N78" s="875">
        <f>N3+N39</f>
        <v>0</v>
      </c>
      <c r="P78" s="853"/>
      <c r="Q78" s="853"/>
    </row>
    <row r="79" spans="1:17" s="752" customFormat="1" ht="9.75">
      <c r="A79" s="752" t="s">
        <v>42</v>
      </c>
      <c r="I79" s="874">
        <f>I76-I78-I21</f>
        <v>110924.55999999998</v>
      </c>
      <c r="J79" s="874">
        <f>J76-J78-J21</f>
        <v>87708.87000000002</v>
      </c>
      <c r="K79" s="770"/>
      <c r="L79" s="874">
        <f>L76-L78-L21</f>
        <v>23215.689999999984</v>
      </c>
      <c r="M79" s="793" t="s">
        <v>188</v>
      </c>
      <c r="N79" s="874">
        <f>N76-N78-N21</f>
        <v>544568.5000000001</v>
      </c>
      <c r="P79" s="770"/>
      <c r="Q79" s="770"/>
    </row>
    <row r="80" spans="9:17" s="946" customFormat="1" ht="9.75">
      <c r="I80" s="943">
        <f>I21</f>
        <v>10696.67</v>
      </c>
      <c r="J80" s="943">
        <f>J21</f>
        <v>5940.9</v>
      </c>
      <c r="K80" s="944"/>
      <c r="L80" s="943">
        <f>L21</f>
        <v>4755.77</v>
      </c>
      <c r="M80" s="945" t="s">
        <v>212</v>
      </c>
      <c r="N80" s="947">
        <f>N21</f>
        <v>154059.1</v>
      </c>
      <c r="P80" s="944"/>
      <c r="Q80" s="944"/>
    </row>
    <row r="81" spans="10:17" s="752" customFormat="1" ht="9.75">
      <c r="J81" s="887"/>
      <c r="L81" s="830"/>
      <c r="M81" s="830"/>
      <c r="P81" s="770"/>
      <c r="Q81" s="770"/>
    </row>
  </sheetData>
  <sheetProtection/>
  <mergeCells count="9">
    <mergeCell ref="A1:N1"/>
    <mergeCell ref="K3:K11"/>
    <mergeCell ref="M3:M11"/>
    <mergeCell ref="M13:M18"/>
    <mergeCell ref="K39:K43"/>
    <mergeCell ref="M39:M43"/>
    <mergeCell ref="K13:K18"/>
    <mergeCell ref="K25:K31"/>
    <mergeCell ref="K20:K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81"/>
  <sheetViews>
    <sheetView showGridLines="0" tabSelected="1" zoomScalePageLayoutView="0" workbookViewId="0" topLeftCell="A1">
      <selection activeCell="P88" sqref="P88"/>
    </sheetView>
  </sheetViews>
  <sheetFormatPr defaultColWidth="9.140625" defaultRowHeight="12.75"/>
  <cols>
    <col min="1" max="1" width="10.7109375" style="174" customWidth="1"/>
    <col min="2" max="2" width="13.421875" style="174" customWidth="1"/>
    <col min="3" max="3" width="53.421875" style="174" customWidth="1"/>
    <col min="4" max="5" width="12.00390625" style="174" customWidth="1"/>
    <col min="6" max="8" width="9.140625" style="174" customWidth="1"/>
    <col min="9" max="9" width="10.7109375" style="174" customWidth="1"/>
    <col min="10" max="10" width="11.8515625" style="174" customWidth="1"/>
    <col min="11" max="11" width="9.140625" style="174" customWidth="1"/>
    <col min="12" max="12" width="10.7109375" style="24" customWidth="1"/>
    <col min="13" max="13" width="9.140625" style="24" customWidth="1"/>
    <col min="14" max="14" width="12.00390625" style="752" customWidth="1"/>
    <col min="15" max="15" width="2.00390625" style="174" customWidth="1"/>
    <col min="16" max="16" width="9.140625" style="772" customWidth="1"/>
    <col min="17" max="17" width="10.00390625" style="772" customWidth="1"/>
    <col min="18" max="16384" width="9.140625" style="174" customWidth="1"/>
  </cols>
  <sheetData>
    <row r="1" spans="1:17" ht="24.75" customHeight="1" thickBot="1">
      <c r="A1" s="954" t="s">
        <v>206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P1" s="770"/>
      <c r="Q1" s="770"/>
    </row>
    <row r="2" spans="1:17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207</v>
      </c>
      <c r="F2" s="138" t="s">
        <v>3</v>
      </c>
      <c r="G2" s="138" t="s">
        <v>4</v>
      </c>
      <c r="H2" s="138" t="s">
        <v>5</v>
      </c>
      <c r="I2" s="138" t="s">
        <v>208</v>
      </c>
      <c r="J2" s="138" t="s">
        <v>209</v>
      </c>
      <c r="K2" s="138" t="s">
        <v>6</v>
      </c>
      <c r="L2" s="138" t="s">
        <v>210</v>
      </c>
      <c r="M2" s="138" t="s">
        <v>6</v>
      </c>
      <c r="N2" s="139" t="s">
        <v>211</v>
      </c>
      <c r="P2" s="770"/>
      <c r="Q2" s="770"/>
    </row>
    <row r="3" spans="1:17" ht="12.75" hidden="1">
      <c r="A3" s="654">
        <v>4425594</v>
      </c>
      <c r="B3" s="803" t="s">
        <v>181</v>
      </c>
      <c r="C3" s="655" t="s">
        <v>15</v>
      </c>
      <c r="D3" s="656">
        <v>413165</v>
      </c>
      <c r="E3" s="941">
        <f>'2024'!N3</f>
        <v>0</v>
      </c>
      <c r="F3" s="658">
        <v>0.97</v>
      </c>
      <c r="G3" s="659">
        <v>2004</v>
      </c>
      <c r="H3" s="860">
        <v>2024</v>
      </c>
      <c r="I3" s="940"/>
      <c r="J3" s="661"/>
      <c r="K3" s="956">
        <v>3030</v>
      </c>
      <c r="L3" s="661">
        <v>0</v>
      </c>
      <c r="M3" s="961">
        <v>283</v>
      </c>
      <c r="N3" s="662">
        <f>E3-J3</f>
        <v>0</v>
      </c>
      <c r="O3" s="663"/>
      <c r="P3" s="770"/>
      <c r="Q3" s="770"/>
    </row>
    <row r="4" spans="1:17" ht="12.75" customHeight="1" hidden="1">
      <c r="A4" s="654">
        <v>4403430</v>
      </c>
      <c r="B4" s="803" t="s">
        <v>181</v>
      </c>
      <c r="C4" s="655" t="s">
        <v>15</v>
      </c>
      <c r="D4" s="656">
        <v>154937.07</v>
      </c>
      <c r="E4" s="657">
        <f>'2023'!N4</f>
        <v>0</v>
      </c>
      <c r="F4" s="658">
        <v>5.25</v>
      </c>
      <c r="G4" s="659">
        <v>2002.2021</v>
      </c>
      <c r="H4" s="860">
        <v>2022</v>
      </c>
      <c r="I4" s="660"/>
      <c r="J4" s="661"/>
      <c r="K4" s="957"/>
      <c r="L4" s="661">
        <f aca="true" t="shared" si="0" ref="L4:L72">I4-J4</f>
        <v>0</v>
      </c>
      <c r="M4" s="962"/>
      <c r="N4" s="664">
        <f aca="true" t="shared" si="1" ref="N4:N72">E4-J4</f>
        <v>0</v>
      </c>
      <c r="P4" s="770"/>
      <c r="Q4" s="770"/>
    </row>
    <row r="5" spans="1:17" ht="12" customHeight="1" hidden="1">
      <c r="A5" s="654">
        <v>4370159</v>
      </c>
      <c r="B5" s="655" t="s">
        <v>7</v>
      </c>
      <c r="C5" s="655" t="s">
        <v>15</v>
      </c>
      <c r="D5" s="656">
        <v>103291.38</v>
      </c>
      <c r="E5" s="657">
        <f>'2023'!N5</f>
        <v>0</v>
      </c>
      <c r="F5" s="658">
        <v>5.75</v>
      </c>
      <c r="G5" s="659">
        <v>2001</v>
      </c>
      <c r="H5" s="774">
        <v>2020</v>
      </c>
      <c r="I5" s="660"/>
      <c r="J5" s="661"/>
      <c r="K5" s="957"/>
      <c r="L5" s="661">
        <f t="shared" si="0"/>
        <v>0</v>
      </c>
      <c r="M5" s="962"/>
      <c r="N5" s="664">
        <f t="shared" si="1"/>
        <v>0</v>
      </c>
      <c r="P5" s="770"/>
      <c r="Q5" s="770"/>
    </row>
    <row r="6" spans="1:17" ht="12.75" customHeight="1" hidden="1">
      <c r="A6" s="665" t="s">
        <v>16</v>
      </c>
      <c r="B6" s="655" t="s">
        <v>7</v>
      </c>
      <c r="C6" s="655" t="s">
        <v>15</v>
      </c>
      <c r="D6" s="656">
        <v>77468.53</v>
      </c>
      <c r="E6" s="657">
        <f>'2023'!N6</f>
        <v>0</v>
      </c>
      <c r="F6" s="658">
        <v>5.75</v>
      </c>
      <c r="G6" s="659">
        <v>2001</v>
      </c>
      <c r="H6" s="774">
        <v>2020</v>
      </c>
      <c r="I6" s="660"/>
      <c r="J6" s="661"/>
      <c r="K6" s="957"/>
      <c r="L6" s="661">
        <f t="shared" si="0"/>
        <v>0</v>
      </c>
      <c r="M6" s="962"/>
      <c r="N6" s="664">
        <f t="shared" si="1"/>
        <v>0</v>
      </c>
      <c r="P6" s="770"/>
      <c r="Q6" s="770"/>
    </row>
    <row r="7" spans="1:17" ht="12.75" customHeight="1" hidden="1">
      <c r="A7" s="654">
        <v>4354048</v>
      </c>
      <c r="B7" s="655" t="s">
        <v>7</v>
      </c>
      <c r="C7" s="655" t="s">
        <v>15</v>
      </c>
      <c r="D7" s="656">
        <v>179245.09</v>
      </c>
      <c r="E7" s="657">
        <f>'2023'!N7</f>
        <v>0</v>
      </c>
      <c r="F7" s="658">
        <v>0</v>
      </c>
      <c r="G7" s="659">
        <v>2000</v>
      </c>
      <c r="H7" s="659">
        <v>2019</v>
      </c>
      <c r="I7" s="660"/>
      <c r="J7" s="661"/>
      <c r="K7" s="957"/>
      <c r="L7" s="661">
        <f t="shared" si="0"/>
        <v>0</v>
      </c>
      <c r="M7" s="962"/>
      <c r="N7" s="664">
        <f t="shared" si="1"/>
        <v>0</v>
      </c>
      <c r="P7" s="770"/>
      <c r="Q7" s="770"/>
    </row>
    <row r="8" spans="1:17" ht="12.75" customHeight="1" hidden="1">
      <c r="A8" s="665" t="s">
        <v>17</v>
      </c>
      <c r="B8" s="655" t="s">
        <v>7</v>
      </c>
      <c r="C8" s="655" t="s">
        <v>18</v>
      </c>
      <c r="D8" s="656">
        <v>6197.48</v>
      </c>
      <c r="E8" s="657">
        <f>'2023'!N8</f>
        <v>0</v>
      </c>
      <c r="F8" s="658">
        <v>6.5</v>
      </c>
      <c r="G8" s="659">
        <v>1998</v>
      </c>
      <c r="H8" s="659">
        <v>2017</v>
      </c>
      <c r="I8" s="660"/>
      <c r="J8" s="661"/>
      <c r="K8" s="957"/>
      <c r="L8" s="661">
        <f t="shared" si="0"/>
        <v>0</v>
      </c>
      <c r="M8" s="962"/>
      <c r="N8" s="664">
        <f t="shared" si="1"/>
        <v>0</v>
      </c>
      <c r="P8" s="770"/>
      <c r="Q8" s="770"/>
    </row>
    <row r="9" spans="1:17" ht="12.75" customHeight="1" hidden="1">
      <c r="A9" s="654">
        <v>4317939</v>
      </c>
      <c r="B9" s="655" t="s">
        <v>7</v>
      </c>
      <c r="C9" s="655" t="s">
        <v>18</v>
      </c>
      <c r="D9" s="656">
        <v>148739.59</v>
      </c>
      <c r="E9" s="657">
        <f>'2023'!N9</f>
        <v>0</v>
      </c>
      <c r="F9" s="658">
        <v>6.5</v>
      </c>
      <c r="G9" s="659">
        <v>1998</v>
      </c>
      <c r="H9" s="659">
        <v>2017</v>
      </c>
      <c r="I9" s="660"/>
      <c r="J9" s="661"/>
      <c r="K9" s="957"/>
      <c r="L9" s="661">
        <f>I9-J9</f>
        <v>0</v>
      </c>
      <c r="M9" s="962"/>
      <c r="N9" s="664">
        <f>E9-J9</f>
        <v>0</v>
      </c>
      <c r="P9" s="770"/>
      <c r="Q9" s="770"/>
    </row>
    <row r="10" spans="1:17" ht="12.75">
      <c r="A10" s="717" t="s">
        <v>77</v>
      </c>
      <c r="B10" s="667" t="s">
        <v>7</v>
      </c>
      <c r="C10" s="667" t="s">
        <v>72</v>
      </c>
      <c r="D10" s="668">
        <v>80000</v>
      </c>
      <c r="E10" s="657">
        <f>'2024'!N10</f>
        <v>5559.929999999999</v>
      </c>
      <c r="F10" s="669">
        <v>3.72</v>
      </c>
      <c r="G10" s="670">
        <v>2006</v>
      </c>
      <c r="H10" s="907">
        <v>2025</v>
      </c>
      <c r="I10" s="671">
        <v>5716.4</v>
      </c>
      <c r="J10" s="672">
        <v>5559.93</v>
      </c>
      <c r="K10" s="957"/>
      <c r="L10" s="672">
        <f>I10-J10</f>
        <v>156.46999999999935</v>
      </c>
      <c r="M10" s="962"/>
      <c r="N10" s="664">
        <f>E10-J10</f>
        <v>0</v>
      </c>
      <c r="P10" s="770"/>
      <c r="Q10" s="770"/>
    </row>
    <row r="11" spans="1:17" s="673" customFormat="1" ht="13.5" thickBot="1">
      <c r="A11" s="665" t="s">
        <v>102</v>
      </c>
      <c r="B11" s="655" t="s">
        <v>20</v>
      </c>
      <c r="C11" s="655" t="s">
        <v>92</v>
      </c>
      <c r="D11" s="656">
        <v>60000</v>
      </c>
      <c r="E11" s="657">
        <f>'2024'!N11</f>
        <v>20502.969999999994</v>
      </c>
      <c r="F11" s="658">
        <v>4.17</v>
      </c>
      <c r="G11" s="659">
        <v>2010</v>
      </c>
      <c r="H11" s="659">
        <v>2029</v>
      </c>
      <c r="I11" s="660">
        <v>4644.1</v>
      </c>
      <c r="J11" s="661">
        <v>3731.84</v>
      </c>
      <c r="K11" s="958"/>
      <c r="L11" s="672">
        <f>I11-J11</f>
        <v>912.2600000000002</v>
      </c>
      <c r="M11" s="963"/>
      <c r="N11" s="664">
        <f>E11-J11</f>
        <v>16771.129999999994</v>
      </c>
      <c r="P11" s="771"/>
      <c r="Q11" s="771"/>
    </row>
    <row r="12" spans="1:14" ht="13.5" thickBot="1">
      <c r="A12" s="674"/>
      <c r="B12" s="675"/>
      <c r="C12" s="675"/>
      <c r="D12" s="676"/>
      <c r="E12" s="682" t="s">
        <v>42</v>
      </c>
      <c r="F12" s="678"/>
      <c r="G12" s="679"/>
      <c r="H12" s="680" t="s">
        <v>43</v>
      </c>
      <c r="I12" s="681">
        <f>SUM(I3:I11)</f>
        <v>10360.5</v>
      </c>
      <c r="J12" s="682">
        <f>SUM(J3:J11)</f>
        <v>9291.77</v>
      </c>
      <c r="K12" s="683"/>
      <c r="L12" s="684">
        <f t="shared" si="0"/>
        <v>1068.7299999999996</v>
      </c>
      <c r="M12" s="685"/>
      <c r="N12" s="686">
        <f>SUM(N3:N11)</f>
        <v>16771.129999999994</v>
      </c>
    </row>
    <row r="13" spans="1:14" ht="12.75" hidden="1">
      <c r="A13" s="687">
        <v>4367661</v>
      </c>
      <c r="B13" s="688" t="s">
        <v>20</v>
      </c>
      <c r="C13" s="688" t="s">
        <v>21</v>
      </c>
      <c r="D13" s="689">
        <v>51645.69</v>
      </c>
      <c r="E13" s="726">
        <f>'2022'!N13</f>
        <v>0</v>
      </c>
      <c r="F13" s="691">
        <v>5.75</v>
      </c>
      <c r="G13" s="692">
        <v>2001</v>
      </c>
      <c r="H13" s="775">
        <v>2020</v>
      </c>
      <c r="I13" s="693"/>
      <c r="J13" s="694"/>
      <c r="K13" s="959">
        <v>3030</v>
      </c>
      <c r="L13" s="695">
        <f t="shared" si="0"/>
        <v>0</v>
      </c>
      <c r="M13" s="959">
        <v>518</v>
      </c>
      <c r="N13" s="696">
        <f t="shared" si="1"/>
        <v>0</v>
      </c>
    </row>
    <row r="14" spans="1:14" ht="12.75" hidden="1">
      <c r="A14" s="654">
        <v>4363580</v>
      </c>
      <c r="B14" s="655" t="s">
        <v>20</v>
      </c>
      <c r="C14" s="655" t="s">
        <v>22</v>
      </c>
      <c r="D14" s="656">
        <v>77468.53</v>
      </c>
      <c r="E14" s="690">
        <f>'2022'!N14</f>
        <v>0</v>
      </c>
      <c r="F14" s="658">
        <v>5.75</v>
      </c>
      <c r="G14" s="659">
        <v>2001</v>
      </c>
      <c r="H14" s="774">
        <v>2020</v>
      </c>
      <c r="I14" s="660"/>
      <c r="J14" s="697"/>
      <c r="K14" s="957"/>
      <c r="L14" s="698">
        <f t="shared" si="0"/>
        <v>0</v>
      </c>
      <c r="M14" s="957"/>
      <c r="N14" s="664">
        <f t="shared" si="1"/>
        <v>0</v>
      </c>
    </row>
    <row r="15" spans="1:14" ht="12.75" customHeight="1" hidden="1">
      <c r="A15" s="665" t="s">
        <v>23</v>
      </c>
      <c r="B15" s="655" t="s">
        <v>20</v>
      </c>
      <c r="C15" s="655" t="s">
        <v>24</v>
      </c>
      <c r="D15" s="656">
        <v>55628.72</v>
      </c>
      <c r="E15" s="690">
        <f>'2022'!N15</f>
        <v>0</v>
      </c>
      <c r="F15" s="658">
        <v>4.85</v>
      </c>
      <c r="G15" s="659">
        <v>1999</v>
      </c>
      <c r="H15" s="659">
        <v>2018</v>
      </c>
      <c r="I15" s="660"/>
      <c r="J15" s="697"/>
      <c r="K15" s="957"/>
      <c r="L15" s="698">
        <f t="shared" si="0"/>
        <v>0</v>
      </c>
      <c r="M15" s="957"/>
      <c r="N15" s="664">
        <f t="shared" si="1"/>
        <v>0</v>
      </c>
    </row>
    <row r="16" spans="1:17" s="673" customFormat="1" ht="12.75">
      <c r="A16" s="717" t="s">
        <v>197</v>
      </c>
      <c r="B16" s="667" t="s">
        <v>20</v>
      </c>
      <c r="C16" s="667" t="s">
        <v>164</v>
      </c>
      <c r="D16" s="668">
        <v>127500</v>
      </c>
      <c r="E16" s="690">
        <f>'2024'!N16</f>
        <v>63803.380000000005</v>
      </c>
      <c r="F16" s="669">
        <v>6.51</v>
      </c>
      <c r="G16" s="670">
        <v>2012</v>
      </c>
      <c r="H16" s="670">
        <v>2031</v>
      </c>
      <c r="I16" s="671">
        <v>11495.76</v>
      </c>
      <c r="J16" s="700">
        <v>7458.51</v>
      </c>
      <c r="K16" s="957"/>
      <c r="L16" s="701">
        <f>I16-J16</f>
        <v>4037.25</v>
      </c>
      <c r="M16" s="957"/>
      <c r="N16" s="664">
        <f>E16-J16</f>
        <v>56344.87</v>
      </c>
      <c r="P16" s="771"/>
      <c r="Q16" s="771"/>
    </row>
    <row r="17" spans="1:17" s="673" customFormat="1" ht="13.5" thickBot="1">
      <c r="A17" s="717" t="s">
        <v>196</v>
      </c>
      <c r="B17" s="667" t="s">
        <v>20</v>
      </c>
      <c r="C17" s="667" t="s">
        <v>195</v>
      </c>
      <c r="D17" s="668">
        <v>200000</v>
      </c>
      <c r="E17" s="690">
        <f>'2024'!N17</f>
        <v>163248.68000000002</v>
      </c>
      <c r="F17" s="669">
        <v>1.04</v>
      </c>
      <c r="G17" s="670">
        <v>2021</v>
      </c>
      <c r="H17" s="670">
        <v>2040</v>
      </c>
      <c r="I17" s="671">
        <v>11101.92</v>
      </c>
      <c r="J17" s="700">
        <v>9428.57</v>
      </c>
      <c r="K17" s="957"/>
      <c r="L17" s="701">
        <f>I17-J17</f>
        <v>1673.3500000000004</v>
      </c>
      <c r="M17" s="957"/>
      <c r="N17" s="664">
        <f>E17-J17</f>
        <v>153820.11000000002</v>
      </c>
      <c r="P17" s="771"/>
      <c r="Q17" s="771"/>
    </row>
    <row r="18" spans="1:17" s="829" customFormat="1" ht="13.5" hidden="1" thickBot="1">
      <c r="A18" s="911"/>
      <c r="B18" s="667"/>
      <c r="C18" s="667"/>
      <c r="D18" s="668"/>
      <c r="E18" s="690"/>
      <c r="F18" s="669"/>
      <c r="G18" s="857"/>
      <c r="H18" s="670"/>
      <c r="I18" s="671"/>
      <c r="J18" s="700"/>
      <c r="K18" s="958"/>
      <c r="L18" s="701">
        <f>I18-J18</f>
        <v>0</v>
      </c>
      <c r="M18" s="958"/>
      <c r="N18" s="664">
        <f>E18-J18</f>
        <v>0</v>
      </c>
      <c r="P18" s="770"/>
      <c r="Q18" s="770"/>
    </row>
    <row r="19" spans="1:14" ht="13.5" thickBot="1">
      <c r="A19" s="674"/>
      <c r="B19" s="675"/>
      <c r="C19" s="675"/>
      <c r="D19" s="676"/>
      <c r="E19" s="702" t="s">
        <v>42</v>
      </c>
      <c r="F19" s="678"/>
      <c r="G19" s="679"/>
      <c r="H19" s="680" t="s">
        <v>43</v>
      </c>
      <c r="I19" s="681">
        <f>SUM(I13:I18)</f>
        <v>22597.68</v>
      </c>
      <c r="J19" s="681">
        <f>SUM(J13:J18)</f>
        <v>16887.08</v>
      </c>
      <c r="K19" s="683"/>
      <c r="L19" s="684">
        <f t="shared" si="0"/>
        <v>5710.5999999999985</v>
      </c>
      <c r="M19" s="685"/>
      <c r="N19" s="703">
        <f>SUM(N13:N18)</f>
        <v>210164.98</v>
      </c>
    </row>
    <row r="20" spans="1:17" s="673" customFormat="1" ht="12.75">
      <c r="A20" s="938" t="s">
        <v>199</v>
      </c>
      <c r="B20" s="914" t="s">
        <v>20</v>
      </c>
      <c r="C20" s="939" t="s">
        <v>93</v>
      </c>
      <c r="D20" s="928">
        <v>114950</v>
      </c>
      <c r="E20" s="929">
        <f>'2024'!N20</f>
        <v>53372.729999999996</v>
      </c>
      <c r="F20" s="930">
        <v>4.93</v>
      </c>
      <c r="G20" s="931">
        <v>2012</v>
      </c>
      <c r="H20" s="931">
        <v>2031</v>
      </c>
      <c r="I20" s="932">
        <v>9111.38</v>
      </c>
      <c r="J20" s="933">
        <v>6555.25</v>
      </c>
      <c r="K20" s="959">
        <v>3030</v>
      </c>
      <c r="L20" s="934">
        <f>I20-J20</f>
        <v>2556.129999999999</v>
      </c>
      <c r="M20" s="66">
        <v>645</v>
      </c>
      <c r="N20" s="935">
        <f>E20-J20</f>
        <v>46817.479999999996</v>
      </c>
      <c r="P20" s="771"/>
      <c r="Q20" s="771"/>
    </row>
    <row r="21" spans="1:17" s="810" customFormat="1" ht="13.5" thickBot="1">
      <c r="A21" s="926" t="s">
        <v>74</v>
      </c>
      <c r="B21" s="937" t="s">
        <v>204</v>
      </c>
      <c r="C21" s="927" t="s">
        <v>205</v>
      </c>
      <c r="D21" s="779">
        <v>160000</v>
      </c>
      <c r="E21" s="936">
        <f>'2024'!N21</f>
        <v>154059.1</v>
      </c>
      <c r="F21" s="921">
        <f>'2023'!F21</f>
        <v>3</v>
      </c>
      <c r="G21" s="925">
        <v>2024</v>
      </c>
      <c r="H21" s="919">
        <f>'2023'!H21</f>
        <v>2043</v>
      </c>
      <c r="I21" s="922">
        <f>'2024'!I21</f>
        <v>10696.67</v>
      </c>
      <c r="J21" s="923">
        <v>6120.46</v>
      </c>
      <c r="K21" s="957"/>
      <c r="L21" s="824">
        <f>I21-J21</f>
        <v>4576.21</v>
      </c>
      <c r="M21" s="66"/>
      <c r="N21" s="924">
        <f>E21-J21</f>
        <v>147938.64</v>
      </c>
      <c r="P21" s="853"/>
      <c r="Q21" s="853"/>
    </row>
    <row r="22" spans="1:14" ht="13.5" thickBot="1">
      <c r="A22" s="674"/>
      <c r="B22" s="675"/>
      <c r="C22" s="675"/>
      <c r="D22" s="676"/>
      <c r="E22" s="682" t="s">
        <v>42</v>
      </c>
      <c r="F22" s="678"/>
      <c r="G22" s="680"/>
      <c r="H22" s="680" t="s">
        <v>43</v>
      </c>
      <c r="I22" s="681">
        <f>SUM(I20:I21)</f>
        <v>19808.05</v>
      </c>
      <c r="J22" s="682">
        <f>SUM(J20:J21)</f>
        <v>12675.71</v>
      </c>
      <c r="K22" s="958"/>
      <c r="L22" s="684">
        <f t="shared" si="0"/>
        <v>7132.34</v>
      </c>
      <c r="M22" s="685"/>
      <c r="N22" s="703">
        <f>SUM(N20:N21)</f>
        <v>194756.12</v>
      </c>
    </row>
    <row r="23" spans="1:14" ht="12.75" hidden="1">
      <c r="A23" s="714" t="s">
        <v>28</v>
      </c>
      <c r="B23" s="688" t="s">
        <v>20</v>
      </c>
      <c r="C23" s="688" t="s">
        <v>29</v>
      </c>
      <c r="D23" s="689">
        <v>17559.53</v>
      </c>
      <c r="E23" s="726">
        <f>'2022'!N22</f>
        <v>0</v>
      </c>
      <c r="F23" s="691">
        <v>5.75</v>
      </c>
      <c r="G23" s="692">
        <v>2001</v>
      </c>
      <c r="H23" s="775">
        <v>2020</v>
      </c>
      <c r="I23" s="693"/>
      <c r="J23" s="715"/>
      <c r="K23" s="35"/>
      <c r="L23" s="715">
        <f t="shared" si="0"/>
        <v>0</v>
      </c>
      <c r="M23" s="35"/>
      <c r="N23" s="716">
        <f t="shared" si="1"/>
        <v>0</v>
      </c>
    </row>
    <row r="24" spans="1:14" ht="12.75" hidden="1">
      <c r="A24" s="654">
        <v>4364549</v>
      </c>
      <c r="B24" s="655" t="s">
        <v>20</v>
      </c>
      <c r="C24" s="655" t="s">
        <v>29</v>
      </c>
      <c r="D24" s="656">
        <v>137377.54</v>
      </c>
      <c r="E24" s="690">
        <f>'2022'!N23</f>
        <v>0</v>
      </c>
      <c r="F24" s="658">
        <v>5.75</v>
      </c>
      <c r="G24" s="659">
        <v>2001</v>
      </c>
      <c r="H24" s="774">
        <v>2020</v>
      </c>
      <c r="I24" s="660"/>
      <c r="J24" s="661"/>
      <c r="K24" s="35"/>
      <c r="L24" s="661">
        <f t="shared" si="0"/>
        <v>0</v>
      </c>
      <c r="M24" s="35"/>
      <c r="N24" s="664">
        <f t="shared" si="1"/>
        <v>0</v>
      </c>
    </row>
    <row r="25" spans="1:14" ht="13.5" customHeight="1">
      <c r="A25" s="717" t="s">
        <v>201</v>
      </c>
      <c r="B25" s="655" t="s">
        <v>20</v>
      </c>
      <c r="C25" s="655" t="s">
        <v>29</v>
      </c>
      <c r="D25" s="668">
        <v>160000</v>
      </c>
      <c r="E25" s="690">
        <f>'2024'!N25</f>
        <v>10814.579999999996</v>
      </c>
      <c r="F25" s="669">
        <v>3.4</v>
      </c>
      <c r="G25" s="670">
        <v>2006</v>
      </c>
      <c r="H25" s="907">
        <v>2025</v>
      </c>
      <c r="I25" s="671">
        <v>11091.2</v>
      </c>
      <c r="J25" s="672">
        <v>10814.58</v>
      </c>
      <c r="K25" s="957">
        <v>3030</v>
      </c>
      <c r="L25" s="672">
        <f t="shared" si="0"/>
        <v>276.6200000000008</v>
      </c>
      <c r="M25" s="35"/>
      <c r="N25" s="664">
        <f t="shared" si="1"/>
        <v>0</v>
      </c>
    </row>
    <row r="26" spans="1:14" ht="12.75">
      <c r="A26" s="717" t="s">
        <v>200</v>
      </c>
      <c r="B26" s="655" t="s">
        <v>20</v>
      </c>
      <c r="C26" s="655" t="s">
        <v>29</v>
      </c>
      <c r="D26" s="668">
        <v>53000</v>
      </c>
      <c r="E26" s="690">
        <f>'2024'!N26</f>
        <v>3582.319999999998</v>
      </c>
      <c r="F26" s="669">
        <v>3.4</v>
      </c>
      <c r="G26" s="670">
        <v>2006</v>
      </c>
      <c r="H26" s="670">
        <v>2026</v>
      </c>
      <c r="I26" s="671">
        <v>3673.96</v>
      </c>
      <c r="J26" s="672">
        <v>3582.32</v>
      </c>
      <c r="K26" s="957"/>
      <c r="L26" s="672">
        <f t="shared" si="0"/>
        <v>91.63999999999987</v>
      </c>
      <c r="M26" s="35"/>
      <c r="N26" s="664">
        <f t="shared" si="1"/>
        <v>0</v>
      </c>
    </row>
    <row r="27" spans="1:14" ht="12.75">
      <c r="A27" s="717" t="s">
        <v>76</v>
      </c>
      <c r="B27" s="655" t="s">
        <v>20</v>
      </c>
      <c r="C27" s="655" t="s">
        <v>73</v>
      </c>
      <c r="D27" s="668">
        <v>100000</v>
      </c>
      <c r="E27" s="690">
        <f>'2024'!N27</f>
        <v>6938.639999999997</v>
      </c>
      <c r="F27" s="669">
        <v>3.72</v>
      </c>
      <c r="G27" s="670">
        <v>2006</v>
      </c>
      <c r="H27" s="907">
        <v>2025</v>
      </c>
      <c r="I27" s="671">
        <v>7132.84</v>
      </c>
      <c r="J27" s="672">
        <v>6938.64</v>
      </c>
      <c r="K27" s="957"/>
      <c r="L27" s="672">
        <f t="shared" si="0"/>
        <v>194.19999999999982</v>
      </c>
      <c r="M27" s="35"/>
      <c r="N27" s="664">
        <f t="shared" si="1"/>
        <v>0</v>
      </c>
    </row>
    <row r="28" spans="1:17" s="718" customFormat="1" ht="12.75">
      <c r="A28" s="717" t="s">
        <v>104</v>
      </c>
      <c r="B28" s="655" t="s">
        <v>20</v>
      </c>
      <c r="C28" s="655" t="s">
        <v>78</v>
      </c>
      <c r="D28" s="668">
        <v>120000</v>
      </c>
      <c r="E28" s="690">
        <f>'2024'!N28</f>
        <v>40200.20000000002</v>
      </c>
      <c r="F28" s="669">
        <v>4.32</v>
      </c>
      <c r="G28" s="670">
        <v>2010</v>
      </c>
      <c r="H28" s="670">
        <v>2029</v>
      </c>
      <c r="I28" s="671">
        <v>9027.68</v>
      </c>
      <c r="J28" s="672">
        <v>7366.66</v>
      </c>
      <c r="K28" s="957"/>
      <c r="L28" s="672">
        <f t="shared" si="0"/>
        <v>1661.0200000000004</v>
      </c>
      <c r="M28" s="35">
        <v>760</v>
      </c>
      <c r="N28" s="664">
        <f t="shared" si="1"/>
        <v>32833.54000000002</v>
      </c>
      <c r="O28" s="174"/>
      <c r="P28" s="773"/>
      <c r="Q28" s="773"/>
    </row>
    <row r="29" spans="1:17" s="718" customFormat="1" ht="12.75">
      <c r="A29" s="717" t="s">
        <v>103</v>
      </c>
      <c r="B29" s="667" t="s">
        <v>20</v>
      </c>
      <c r="C29" s="719" t="s">
        <v>107</v>
      </c>
      <c r="D29" s="668">
        <v>90000</v>
      </c>
      <c r="E29" s="690">
        <f>'2024'!N29</f>
        <v>30113.659999999996</v>
      </c>
      <c r="F29" s="669">
        <v>4.3</v>
      </c>
      <c r="G29" s="670">
        <v>2010</v>
      </c>
      <c r="H29" s="670">
        <v>2029</v>
      </c>
      <c r="I29" s="671">
        <v>6759.04</v>
      </c>
      <c r="J29" s="700">
        <v>5520.57</v>
      </c>
      <c r="K29" s="957"/>
      <c r="L29" s="701">
        <f t="shared" si="0"/>
        <v>1238.4700000000003</v>
      </c>
      <c r="M29" s="66"/>
      <c r="N29" s="664">
        <f t="shared" si="1"/>
        <v>24593.089999999997</v>
      </c>
      <c r="O29" s="174"/>
      <c r="P29" s="773"/>
      <c r="Q29" s="773"/>
    </row>
    <row r="30" spans="1:17" s="718" customFormat="1" ht="12.75">
      <c r="A30" s="717" t="s">
        <v>117</v>
      </c>
      <c r="B30" s="667" t="s">
        <v>20</v>
      </c>
      <c r="C30" s="719" t="s">
        <v>108</v>
      </c>
      <c r="D30" s="668">
        <v>152925</v>
      </c>
      <c r="E30" s="690">
        <f>'2024'!N30</f>
        <v>60153.669999999984</v>
      </c>
      <c r="F30" s="669">
        <v>4.43</v>
      </c>
      <c r="G30" s="670">
        <v>2011</v>
      </c>
      <c r="H30" s="670">
        <v>2029</v>
      </c>
      <c r="I30" s="671">
        <v>11483.74</v>
      </c>
      <c r="J30" s="700">
        <v>8988.68</v>
      </c>
      <c r="K30" s="957"/>
      <c r="L30" s="701">
        <f t="shared" si="0"/>
        <v>2495.0599999999995</v>
      </c>
      <c r="M30" s="66"/>
      <c r="N30" s="720">
        <f t="shared" si="1"/>
        <v>51164.98999999998</v>
      </c>
      <c r="P30" s="773"/>
      <c r="Q30" s="773"/>
    </row>
    <row r="31" spans="1:17" s="718" customFormat="1" ht="17.25" customHeight="1" thickBot="1">
      <c r="A31" s="717" t="s">
        <v>198</v>
      </c>
      <c r="B31" s="667" t="s">
        <v>20</v>
      </c>
      <c r="C31" s="730" t="s">
        <v>109</v>
      </c>
      <c r="D31" s="668">
        <v>140000</v>
      </c>
      <c r="E31" s="778">
        <f>'2024'!N31</f>
        <v>33814.43</v>
      </c>
      <c r="F31" s="669">
        <v>6.51</v>
      </c>
      <c r="G31" s="670">
        <v>2012</v>
      </c>
      <c r="H31" s="670">
        <v>2031</v>
      </c>
      <c r="I31" s="671">
        <v>6092.5</v>
      </c>
      <c r="J31" s="700">
        <v>3952.85</v>
      </c>
      <c r="K31" s="957"/>
      <c r="L31" s="701">
        <f t="shared" si="0"/>
        <v>2139.65</v>
      </c>
      <c r="M31" s="66"/>
      <c r="N31" s="776">
        <f t="shared" si="1"/>
        <v>29861.58</v>
      </c>
      <c r="P31" s="773"/>
      <c r="Q31" s="773"/>
    </row>
    <row r="32" spans="1:17" s="718" customFormat="1" ht="13.5" hidden="1" thickBot="1">
      <c r="A32" s="855"/>
      <c r="B32" s="667"/>
      <c r="C32" s="730"/>
      <c r="D32" s="856"/>
      <c r="E32" s="726"/>
      <c r="F32" s="669"/>
      <c r="G32" s="857"/>
      <c r="H32" s="670"/>
      <c r="I32" s="858"/>
      <c r="J32" s="859"/>
      <c r="K32" s="66"/>
      <c r="L32" s="701">
        <f t="shared" si="0"/>
        <v>0</v>
      </c>
      <c r="M32" s="66"/>
      <c r="N32" s="776">
        <f t="shared" si="1"/>
        <v>0</v>
      </c>
      <c r="P32" s="773"/>
      <c r="Q32" s="773"/>
    </row>
    <row r="33" spans="1:17" s="718" customFormat="1" ht="13.5" hidden="1" thickBot="1">
      <c r="A33" s="843"/>
      <c r="B33" s="721"/>
      <c r="C33" s="721"/>
      <c r="D33" s="845"/>
      <c r="E33" s="778"/>
      <c r="F33" s="722"/>
      <c r="G33" s="842"/>
      <c r="H33" s="723"/>
      <c r="I33" s="849"/>
      <c r="J33" s="850"/>
      <c r="K33" s="653"/>
      <c r="L33" s="724">
        <f>I33-J33</f>
        <v>0</v>
      </c>
      <c r="M33" s="653"/>
      <c r="N33" s="756">
        <f>E33-J33</f>
        <v>0</v>
      </c>
      <c r="P33" s="773"/>
      <c r="Q33" s="773"/>
    </row>
    <row r="34" spans="1:14" ht="13.5" thickBot="1">
      <c r="A34" s="674"/>
      <c r="B34" s="675"/>
      <c r="C34" s="675"/>
      <c r="D34" s="676"/>
      <c r="E34" s="725" t="s">
        <v>42</v>
      </c>
      <c r="F34" s="678"/>
      <c r="G34" s="679"/>
      <c r="H34" s="680" t="s">
        <v>43</v>
      </c>
      <c r="I34" s="681">
        <f>SUM(I23:I33)</f>
        <v>55260.96</v>
      </c>
      <c r="J34" s="682">
        <f>SUM(J23:J33)</f>
        <v>47164.3</v>
      </c>
      <c r="K34" s="685"/>
      <c r="L34" s="684">
        <f t="shared" si="0"/>
        <v>8096.659999999996</v>
      </c>
      <c r="M34" s="685"/>
      <c r="N34" s="703">
        <f>SUM(N23:N33)</f>
        <v>138453.2</v>
      </c>
    </row>
    <row r="35" spans="1:14" ht="13.5" hidden="1" thickBot="1">
      <c r="A35" s="714" t="s">
        <v>32</v>
      </c>
      <c r="B35" s="688" t="s">
        <v>20</v>
      </c>
      <c r="C35" s="688" t="s">
        <v>33</v>
      </c>
      <c r="D35" s="689">
        <v>13180.75</v>
      </c>
      <c r="E35" s="726">
        <f>'2022'!N34</f>
        <v>0</v>
      </c>
      <c r="F35" s="691">
        <v>6.5</v>
      </c>
      <c r="G35" s="692">
        <v>1998</v>
      </c>
      <c r="H35" s="692">
        <v>2017</v>
      </c>
      <c r="I35" s="693">
        <v>0</v>
      </c>
      <c r="J35" s="715"/>
      <c r="K35" s="35"/>
      <c r="L35" s="715">
        <f t="shared" si="0"/>
        <v>0</v>
      </c>
      <c r="M35" s="35"/>
      <c r="N35" s="727">
        <f t="shared" si="1"/>
        <v>0</v>
      </c>
    </row>
    <row r="36" spans="1:14" ht="13.5" hidden="1" thickBot="1">
      <c r="A36" s="654">
        <v>4317937</v>
      </c>
      <c r="B36" s="655" t="s">
        <v>20</v>
      </c>
      <c r="C36" s="655" t="s">
        <v>33</v>
      </c>
      <c r="D36" s="656">
        <v>90110.63</v>
      </c>
      <c r="E36" s="726">
        <f>'2022'!N35</f>
        <v>0</v>
      </c>
      <c r="F36" s="658">
        <v>6.5</v>
      </c>
      <c r="G36" s="659">
        <v>1998</v>
      </c>
      <c r="H36" s="659">
        <v>2017</v>
      </c>
      <c r="I36" s="660">
        <v>0</v>
      </c>
      <c r="J36" s="661"/>
      <c r="K36" s="35">
        <v>3030</v>
      </c>
      <c r="L36" s="661">
        <f t="shared" si="0"/>
        <v>0</v>
      </c>
      <c r="M36" s="35">
        <v>820</v>
      </c>
      <c r="N36" s="664">
        <f t="shared" si="1"/>
        <v>0</v>
      </c>
    </row>
    <row r="37" spans="1:14" ht="13.5" hidden="1" thickBot="1">
      <c r="A37" s="665" t="s">
        <v>34</v>
      </c>
      <c r="B37" s="655" t="s">
        <v>20</v>
      </c>
      <c r="C37" s="655" t="s">
        <v>33</v>
      </c>
      <c r="D37" s="656">
        <v>51645.69</v>
      </c>
      <c r="E37" s="726">
        <f>'2022'!N36</f>
        <v>0</v>
      </c>
      <c r="F37" s="658">
        <v>6.5</v>
      </c>
      <c r="G37" s="659">
        <v>1998</v>
      </c>
      <c r="H37" s="659">
        <v>2017</v>
      </c>
      <c r="I37" s="660">
        <v>0</v>
      </c>
      <c r="J37" s="661"/>
      <c r="K37" s="35"/>
      <c r="L37" s="661">
        <f t="shared" si="0"/>
        <v>0</v>
      </c>
      <c r="M37" s="35"/>
      <c r="N37" s="664">
        <f t="shared" si="1"/>
        <v>0</v>
      </c>
    </row>
    <row r="38" spans="1:14" ht="13.5" hidden="1" thickBot="1">
      <c r="A38" s="674"/>
      <c r="B38" s="675"/>
      <c r="C38" s="675"/>
      <c r="D38" s="676"/>
      <c r="E38" s="682" t="s">
        <v>42</v>
      </c>
      <c r="F38" s="678"/>
      <c r="G38" s="679"/>
      <c r="H38" s="680" t="s">
        <v>43</v>
      </c>
      <c r="I38" s="681">
        <f>SUM(I35:I37)</f>
        <v>0</v>
      </c>
      <c r="J38" s="682">
        <f>SUM(J35:J37)</f>
        <v>0</v>
      </c>
      <c r="K38" s="685"/>
      <c r="L38" s="684">
        <f t="shared" si="0"/>
        <v>0</v>
      </c>
      <c r="M38" s="685"/>
      <c r="N38" s="703">
        <f>SUM(N35:N37)</f>
        <v>0</v>
      </c>
    </row>
    <row r="39" spans="1:14" ht="12.75" hidden="1">
      <c r="A39" s="687">
        <v>4444717</v>
      </c>
      <c r="B39" s="802" t="s">
        <v>181</v>
      </c>
      <c r="C39" s="688" t="s">
        <v>38</v>
      </c>
      <c r="D39" s="689">
        <v>98000</v>
      </c>
      <c r="E39" s="880">
        <f>'2024'!N39</f>
        <v>0</v>
      </c>
      <c r="F39" s="691">
        <v>0.97</v>
      </c>
      <c r="G39" s="692">
        <v>2004</v>
      </c>
      <c r="H39" s="863">
        <v>2024</v>
      </c>
      <c r="I39" s="942"/>
      <c r="J39" s="715"/>
      <c r="K39" s="959">
        <v>3030</v>
      </c>
      <c r="L39" s="715">
        <v>0</v>
      </c>
      <c r="M39" s="959">
        <v>910</v>
      </c>
      <c r="N39" s="727">
        <f t="shared" si="1"/>
        <v>0</v>
      </c>
    </row>
    <row r="40" spans="1:14" ht="12.75" customHeight="1" hidden="1">
      <c r="A40" s="654">
        <v>4388738</v>
      </c>
      <c r="B40" s="803" t="s">
        <v>181</v>
      </c>
      <c r="C40" s="655" t="s">
        <v>38</v>
      </c>
      <c r="D40" s="656">
        <v>103291.38</v>
      </c>
      <c r="E40" s="880">
        <f>'2023'!N40</f>
        <v>0</v>
      </c>
      <c r="F40" s="658">
        <v>5.5</v>
      </c>
      <c r="G40" s="659">
        <v>2002</v>
      </c>
      <c r="H40" s="860">
        <v>2022</v>
      </c>
      <c r="I40" s="881"/>
      <c r="J40" s="882"/>
      <c r="K40" s="957"/>
      <c r="L40" s="661">
        <f t="shared" si="0"/>
        <v>0</v>
      </c>
      <c r="M40" s="957"/>
      <c r="N40" s="664">
        <f t="shared" si="1"/>
        <v>0</v>
      </c>
    </row>
    <row r="41" spans="1:14" ht="12.75" customHeight="1" hidden="1">
      <c r="A41" s="654">
        <v>4363583</v>
      </c>
      <c r="B41" s="655" t="s">
        <v>20</v>
      </c>
      <c r="C41" s="655" t="s">
        <v>38</v>
      </c>
      <c r="D41" s="656">
        <v>49982.94</v>
      </c>
      <c r="E41" s="726">
        <f>'2023'!N41</f>
        <v>0</v>
      </c>
      <c r="F41" s="658">
        <v>5.75</v>
      </c>
      <c r="G41" s="659">
        <v>2001</v>
      </c>
      <c r="H41" s="774">
        <v>2020</v>
      </c>
      <c r="I41" s="660"/>
      <c r="J41" s="661"/>
      <c r="K41" s="957"/>
      <c r="L41" s="661">
        <f t="shared" si="0"/>
        <v>0</v>
      </c>
      <c r="M41" s="957"/>
      <c r="N41" s="664">
        <f t="shared" si="1"/>
        <v>0</v>
      </c>
    </row>
    <row r="42" spans="1:14" ht="12.75" customHeight="1" hidden="1">
      <c r="A42" s="699">
        <v>4317938</v>
      </c>
      <c r="B42" s="667" t="s">
        <v>20</v>
      </c>
      <c r="C42" s="667" t="s">
        <v>38</v>
      </c>
      <c r="D42" s="668">
        <v>50396.44</v>
      </c>
      <c r="E42" s="726">
        <f>'2023'!N42</f>
        <v>0</v>
      </c>
      <c r="F42" s="669">
        <v>6.5</v>
      </c>
      <c r="G42" s="670">
        <v>1998</v>
      </c>
      <c r="H42" s="670">
        <v>2017</v>
      </c>
      <c r="I42" s="671"/>
      <c r="J42" s="672"/>
      <c r="K42" s="957"/>
      <c r="L42" s="672">
        <f>I42-J42</f>
        <v>0</v>
      </c>
      <c r="M42" s="957"/>
      <c r="N42" s="728">
        <f>E42-J42</f>
        <v>0</v>
      </c>
    </row>
    <row r="43" spans="1:14" ht="13.5" thickBot="1">
      <c r="A43" s="717" t="s">
        <v>94</v>
      </c>
      <c r="B43" s="655" t="s">
        <v>20</v>
      </c>
      <c r="C43" s="655" t="s">
        <v>85</v>
      </c>
      <c r="D43" s="668">
        <v>130000</v>
      </c>
      <c r="E43" s="726">
        <f>'2024'!N43</f>
        <v>35713.19000000001</v>
      </c>
      <c r="F43" s="669">
        <v>4.39</v>
      </c>
      <c r="G43" s="670">
        <v>2008</v>
      </c>
      <c r="H43" s="670">
        <v>2028</v>
      </c>
      <c r="I43" s="671">
        <v>9832.52</v>
      </c>
      <c r="J43" s="672">
        <v>8355.42</v>
      </c>
      <c r="K43" s="958"/>
      <c r="L43" s="672">
        <f>I43-J43</f>
        <v>1477.1000000000004</v>
      </c>
      <c r="M43" s="958"/>
      <c r="N43" s="664">
        <f>E43-J43</f>
        <v>27357.77000000001</v>
      </c>
    </row>
    <row r="44" spans="1:14" ht="13.5" thickBot="1">
      <c r="A44" s="729"/>
      <c r="B44" s="675"/>
      <c r="C44" s="675"/>
      <c r="D44" s="676"/>
      <c r="E44" s="682" t="s">
        <v>42</v>
      </c>
      <c r="F44" s="678"/>
      <c r="G44" s="679"/>
      <c r="H44" s="680" t="s">
        <v>43</v>
      </c>
      <c r="I44" s="681">
        <f>SUM(I39:I43)</f>
        <v>9832.52</v>
      </c>
      <c r="J44" s="682">
        <f>SUM(J39:J43)</f>
        <v>8355.42</v>
      </c>
      <c r="K44" s="685"/>
      <c r="L44" s="682">
        <f t="shared" si="0"/>
        <v>1477.1000000000004</v>
      </c>
      <c r="M44" s="685"/>
      <c r="N44" s="703">
        <f>SUM(N39:N43)</f>
        <v>27357.77000000001</v>
      </c>
    </row>
    <row r="45" spans="1:17" s="673" customFormat="1" ht="15.75" customHeight="1" thickBot="1">
      <c r="A45" s="717" t="s">
        <v>105</v>
      </c>
      <c r="B45" s="667" t="s">
        <v>20</v>
      </c>
      <c r="C45" s="730" t="s">
        <v>100</v>
      </c>
      <c r="D45" s="668">
        <v>50000</v>
      </c>
      <c r="E45" s="731">
        <f>'2024'!N45</f>
        <v>16750.12</v>
      </c>
      <c r="F45" s="669">
        <v>4.32</v>
      </c>
      <c r="G45" s="670">
        <v>2010</v>
      </c>
      <c r="H45" s="670">
        <v>2029</v>
      </c>
      <c r="I45" s="671">
        <v>3761.52</v>
      </c>
      <c r="J45" s="700">
        <v>3069.44</v>
      </c>
      <c r="K45" s="66">
        <v>3030</v>
      </c>
      <c r="L45" s="701">
        <f>I45-J45</f>
        <v>692.0799999999999</v>
      </c>
      <c r="M45" s="66">
        <v>930</v>
      </c>
      <c r="N45" s="664">
        <f>E45-J45</f>
        <v>13680.679999999998</v>
      </c>
      <c r="P45" s="771"/>
      <c r="Q45" s="771"/>
    </row>
    <row r="46" spans="1:14" ht="13.5" thickBot="1">
      <c r="A46" s="674"/>
      <c r="B46" s="675"/>
      <c r="C46" s="675"/>
      <c r="D46" s="676"/>
      <c r="E46" s="682" t="s">
        <v>42</v>
      </c>
      <c r="F46" s="678"/>
      <c r="G46" s="679"/>
      <c r="H46" s="680" t="s">
        <v>43</v>
      </c>
      <c r="I46" s="681">
        <f>SUM(I45:I45)</f>
        <v>3761.52</v>
      </c>
      <c r="J46" s="828">
        <f>SUM(J45:J45)</f>
        <v>3069.44</v>
      </c>
      <c r="K46" s="685"/>
      <c r="L46" s="684">
        <f t="shared" si="0"/>
        <v>692.0799999999999</v>
      </c>
      <c r="M46" s="685"/>
      <c r="N46" s="703">
        <f>SUM(N45:N45)</f>
        <v>13680.679999999998</v>
      </c>
    </row>
    <row r="47" spans="1:14" ht="13.5" hidden="1" thickBot="1">
      <c r="A47" s="733"/>
      <c r="B47" s="734"/>
      <c r="C47" s="734"/>
      <c r="D47" s="735"/>
      <c r="E47" s="736"/>
      <c r="F47" s="737"/>
      <c r="G47" s="738"/>
      <c r="H47" s="738"/>
      <c r="I47" s="739"/>
      <c r="J47" s="736"/>
      <c r="K47" s="740"/>
      <c r="L47" s="715">
        <f t="shared" si="0"/>
        <v>0</v>
      </c>
      <c r="M47" s="66"/>
      <c r="N47" s="741">
        <f t="shared" si="1"/>
        <v>0</v>
      </c>
    </row>
    <row r="48" spans="1:14" ht="13.5" hidden="1" thickBot="1">
      <c r="A48" s="733"/>
      <c r="B48" s="734"/>
      <c r="C48" s="734"/>
      <c r="D48" s="735"/>
      <c r="E48" s="736"/>
      <c r="F48" s="737"/>
      <c r="G48" s="738"/>
      <c r="H48" s="738"/>
      <c r="I48" s="739"/>
      <c r="J48" s="736"/>
      <c r="K48" s="740"/>
      <c r="L48" s="661">
        <f t="shared" si="0"/>
        <v>0</v>
      </c>
      <c r="M48" s="27"/>
      <c r="N48" s="741">
        <f t="shared" si="1"/>
        <v>0</v>
      </c>
    </row>
    <row r="49" spans="1:14" ht="13.5" hidden="1" thickBot="1">
      <c r="A49" s="733"/>
      <c r="B49" s="734"/>
      <c r="C49" s="734"/>
      <c r="D49" s="735"/>
      <c r="E49" s="736"/>
      <c r="F49" s="737"/>
      <c r="G49" s="738"/>
      <c r="H49" s="738"/>
      <c r="I49" s="739"/>
      <c r="J49" s="736"/>
      <c r="K49" s="740"/>
      <c r="L49" s="661">
        <f t="shared" si="0"/>
        <v>0</v>
      </c>
      <c r="M49" s="27"/>
      <c r="N49" s="741">
        <f t="shared" si="1"/>
        <v>0</v>
      </c>
    </row>
    <row r="50" spans="1:14" ht="13.5" hidden="1" thickBot="1">
      <c r="A50" s="733"/>
      <c r="B50" s="734"/>
      <c r="C50" s="734"/>
      <c r="D50" s="735"/>
      <c r="E50" s="736"/>
      <c r="F50" s="737"/>
      <c r="G50" s="738"/>
      <c r="H50" s="738"/>
      <c r="I50" s="739"/>
      <c r="J50" s="736"/>
      <c r="K50" s="740"/>
      <c r="L50" s="661">
        <f t="shared" si="0"/>
        <v>0</v>
      </c>
      <c r="M50" s="27"/>
      <c r="N50" s="741">
        <f t="shared" si="1"/>
        <v>0</v>
      </c>
    </row>
    <row r="51" spans="1:14" ht="13.5" hidden="1" thickBot="1">
      <c r="A51" s="733"/>
      <c r="B51" s="734"/>
      <c r="C51" s="734"/>
      <c r="D51" s="735"/>
      <c r="E51" s="736"/>
      <c r="F51" s="737"/>
      <c r="G51" s="738"/>
      <c r="H51" s="738"/>
      <c r="I51" s="739"/>
      <c r="J51" s="736"/>
      <c r="K51" s="740"/>
      <c r="L51" s="661">
        <f t="shared" si="0"/>
        <v>0</v>
      </c>
      <c r="M51" s="27"/>
      <c r="N51" s="741">
        <f t="shared" si="1"/>
        <v>0</v>
      </c>
    </row>
    <row r="52" spans="1:14" ht="13.5" hidden="1" thickBot="1">
      <c r="A52" s="733"/>
      <c r="B52" s="734"/>
      <c r="C52" s="734"/>
      <c r="D52" s="735"/>
      <c r="E52" s="736"/>
      <c r="F52" s="737"/>
      <c r="G52" s="738"/>
      <c r="H52" s="738"/>
      <c r="I52" s="739"/>
      <c r="J52" s="736"/>
      <c r="K52" s="740"/>
      <c r="L52" s="661">
        <f t="shared" si="0"/>
        <v>0</v>
      </c>
      <c r="M52" s="27"/>
      <c r="N52" s="741">
        <f t="shared" si="1"/>
        <v>0</v>
      </c>
    </row>
    <row r="53" spans="1:14" ht="13.5" hidden="1" thickBot="1">
      <c r="A53" s="733"/>
      <c r="B53" s="734"/>
      <c r="C53" s="734"/>
      <c r="D53" s="735"/>
      <c r="E53" s="736"/>
      <c r="F53" s="737"/>
      <c r="G53" s="738"/>
      <c r="H53" s="738"/>
      <c r="I53" s="739"/>
      <c r="J53" s="736"/>
      <c r="K53" s="740"/>
      <c r="L53" s="661">
        <f t="shared" si="0"/>
        <v>0</v>
      </c>
      <c r="M53" s="27"/>
      <c r="N53" s="741">
        <f t="shared" si="1"/>
        <v>0</v>
      </c>
    </row>
    <row r="54" spans="1:14" ht="13.5" hidden="1" thickBot="1">
      <c r="A54" s="733"/>
      <c r="B54" s="734"/>
      <c r="C54" s="734"/>
      <c r="D54" s="735"/>
      <c r="E54" s="736"/>
      <c r="F54" s="737"/>
      <c r="G54" s="738"/>
      <c r="H54" s="738"/>
      <c r="I54" s="739"/>
      <c r="J54" s="736"/>
      <c r="K54" s="740"/>
      <c r="L54" s="661">
        <f t="shared" si="0"/>
        <v>0</v>
      </c>
      <c r="M54" s="27"/>
      <c r="N54" s="741">
        <f t="shared" si="1"/>
        <v>0</v>
      </c>
    </row>
    <row r="55" spans="1:14" ht="13.5" hidden="1" thickBot="1">
      <c r="A55" s="733"/>
      <c r="B55" s="734"/>
      <c r="C55" s="734"/>
      <c r="D55" s="735"/>
      <c r="E55" s="736"/>
      <c r="F55" s="737"/>
      <c r="G55" s="738"/>
      <c r="H55" s="738"/>
      <c r="I55" s="739"/>
      <c r="J55" s="736"/>
      <c r="K55" s="740"/>
      <c r="L55" s="661">
        <f t="shared" si="0"/>
        <v>0</v>
      </c>
      <c r="M55" s="27"/>
      <c r="N55" s="741">
        <f t="shared" si="1"/>
        <v>0</v>
      </c>
    </row>
    <row r="56" spans="1:14" ht="13.5" hidden="1" thickBot="1">
      <c r="A56" s="733"/>
      <c r="B56" s="734"/>
      <c r="C56" s="734"/>
      <c r="D56" s="735"/>
      <c r="E56" s="736"/>
      <c r="F56" s="737"/>
      <c r="G56" s="738"/>
      <c r="H56" s="738"/>
      <c r="I56" s="739"/>
      <c r="J56" s="736"/>
      <c r="K56" s="740"/>
      <c r="L56" s="661">
        <f t="shared" si="0"/>
        <v>0</v>
      </c>
      <c r="M56" s="27"/>
      <c r="N56" s="741">
        <f t="shared" si="1"/>
        <v>0</v>
      </c>
    </row>
    <row r="57" spans="1:14" ht="13.5" hidden="1" thickBot="1">
      <c r="A57" s="733"/>
      <c r="B57" s="734"/>
      <c r="C57" s="734"/>
      <c r="D57" s="735"/>
      <c r="E57" s="736"/>
      <c r="F57" s="737"/>
      <c r="G57" s="738"/>
      <c r="H57" s="738"/>
      <c r="I57" s="739"/>
      <c r="J57" s="736"/>
      <c r="K57" s="740"/>
      <c r="L57" s="661">
        <f t="shared" si="0"/>
        <v>0</v>
      </c>
      <c r="M57" s="27"/>
      <c r="N57" s="741">
        <f t="shared" si="1"/>
        <v>0</v>
      </c>
    </row>
    <row r="58" spans="1:14" ht="13.5" hidden="1" thickBot="1">
      <c r="A58" s="733"/>
      <c r="B58" s="734"/>
      <c r="C58" s="734"/>
      <c r="D58" s="735"/>
      <c r="E58" s="736"/>
      <c r="F58" s="737"/>
      <c r="G58" s="738"/>
      <c r="H58" s="738"/>
      <c r="I58" s="739"/>
      <c r="J58" s="736"/>
      <c r="K58" s="740"/>
      <c r="L58" s="661">
        <f t="shared" si="0"/>
        <v>0</v>
      </c>
      <c r="M58" s="27"/>
      <c r="N58" s="741">
        <f t="shared" si="1"/>
        <v>0</v>
      </c>
    </row>
    <row r="59" spans="1:14" ht="13.5" hidden="1" thickBot="1">
      <c r="A59" s="733"/>
      <c r="B59" s="734"/>
      <c r="C59" s="734"/>
      <c r="D59" s="735"/>
      <c r="E59" s="736"/>
      <c r="F59" s="737"/>
      <c r="G59" s="738"/>
      <c r="H59" s="738"/>
      <c r="I59" s="739"/>
      <c r="J59" s="736"/>
      <c r="K59" s="740"/>
      <c r="L59" s="661">
        <f t="shared" si="0"/>
        <v>0</v>
      </c>
      <c r="M59" s="27"/>
      <c r="N59" s="741">
        <f t="shared" si="1"/>
        <v>0</v>
      </c>
    </row>
    <row r="60" spans="1:14" ht="13.5" hidden="1" thickBot="1">
      <c r="A60" s="733"/>
      <c r="B60" s="734"/>
      <c r="C60" s="734"/>
      <c r="D60" s="735"/>
      <c r="E60" s="736"/>
      <c r="F60" s="737"/>
      <c r="G60" s="738"/>
      <c r="H60" s="738"/>
      <c r="I60" s="739"/>
      <c r="J60" s="736"/>
      <c r="K60" s="740"/>
      <c r="L60" s="661">
        <f t="shared" si="0"/>
        <v>0</v>
      </c>
      <c r="M60" s="27"/>
      <c r="N60" s="741">
        <f t="shared" si="1"/>
        <v>0</v>
      </c>
    </row>
    <row r="61" spans="1:14" ht="13.5" hidden="1" thickBot="1">
      <c r="A61" s="733"/>
      <c r="B61" s="734"/>
      <c r="C61" s="734"/>
      <c r="D61" s="735"/>
      <c r="E61" s="736"/>
      <c r="F61" s="737"/>
      <c r="G61" s="738"/>
      <c r="H61" s="738"/>
      <c r="I61" s="739"/>
      <c r="J61" s="736"/>
      <c r="K61" s="740"/>
      <c r="L61" s="661">
        <f t="shared" si="0"/>
        <v>0</v>
      </c>
      <c r="M61" s="27"/>
      <c r="N61" s="741">
        <f t="shared" si="1"/>
        <v>0</v>
      </c>
    </row>
    <row r="62" spans="1:14" ht="13.5" hidden="1" thickBot="1">
      <c r="A62" s="733"/>
      <c r="B62" s="734"/>
      <c r="C62" s="734"/>
      <c r="D62" s="735"/>
      <c r="E62" s="736"/>
      <c r="F62" s="737"/>
      <c r="G62" s="738"/>
      <c r="H62" s="738"/>
      <c r="I62" s="739"/>
      <c r="J62" s="736"/>
      <c r="K62" s="740"/>
      <c r="L62" s="661">
        <f t="shared" si="0"/>
        <v>0</v>
      </c>
      <c r="M62" s="27"/>
      <c r="N62" s="741">
        <f t="shared" si="1"/>
        <v>0</v>
      </c>
    </row>
    <row r="63" spans="1:14" ht="13.5" hidden="1" thickBot="1">
      <c r="A63" s="733"/>
      <c r="B63" s="734"/>
      <c r="C63" s="734"/>
      <c r="D63" s="735"/>
      <c r="E63" s="736"/>
      <c r="F63" s="737"/>
      <c r="G63" s="738"/>
      <c r="H63" s="738"/>
      <c r="I63" s="739"/>
      <c r="J63" s="736"/>
      <c r="K63" s="740"/>
      <c r="L63" s="661">
        <f t="shared" si="0"/>
        <v>0</v>
      </c>
      <c r="M63" s="27"/>
      <c r="N63" s="741">
        <f t="shared" si="1"/>
        <v>0</v>
      </c>
    </row>
    <row r="64" spans="1:14" ht="13.5" hidden="1" thickBot="1">
      <c r="A64" s="733"/>
      <c r="B64" s="734"/>
      <c r="C64" s="734"/>
      <c r="D64" s="735"/>
      <c r="E64" s="736"/>
      <c r="F64" s="737"/>
      <c r="G64" s="738"/>
      <c r="H64" s="738"/>
      <c r="I64" s="739"/>
      <c r="J64" s="736"/>
      <c r="K64" s="740"/>
      <c r="L64" s="661">
        <f t="shared" si="0"/>
        <v>0</v>
      </c>
      <c r="M64" s="27"/>
      <c r="N64" s="741">
        <f t="shared" si="1"/>
        <v>0</v>
      </c>
    </row>
    <row r="65" spans="1:14" ht="13.5" hidden="1" thickBot="1">
      <c r="A65" s="733"/>
      <c r="B65" s="734"/>
      <c r="C65" s="734"/>
      <c r="D65" s="735"/>
      <c r="E65" s="736"/>
      <c r="F65" s="737"/>
      <c r="G65" s="738"/>
      <c r="H65" s="738"/>
      <c r="I65" s="739"/>
      <c r="J65" s="736"/>
      <c r="K65" s="740"/>
      <c r="L65" s="661">
        <f t="shared" si="0"/>
        <v>0</v>
      </c>
      <c r="M65" s="27"/>
      <c r="N65" s="741">
        <f t="shared" si="1"/>
        <v>0</v>
      </c>
    </row>
    <row r="66" spans="1:14" ht="13.5" hidden="1" thickBot="1">
      <c r="A66" s="733"/>
      <c r="B66" s="734"/>
      <c r="C66" s="734"/>
      <c r="D66" s="735"/>
      <c r="E66" s="736"/>
      <c r="F66" s="737"/>
      <c r="G66" s="738"/>
      <c r="H66" s="738"/>
      <c r="I66" s="739"/>
      <c r="J66" s="736"/>
      <c r="K66" s="740"/>
      <c r="L66" s="661">
        <f t="shared" si="0"/>
        <v>0</v>
      </c>
      <c r="M66" s="27"/>
      <c r="N66" s="741">
        <f t="shared" si="1"/>
        <v>0</v>
      </c>
    </row>
    <row r="67" spans="1:14" ht="13.5" hidden="1" thickBot="1">
      <c r="A67" s="733"/>
      <c r="B67" s="734"/>
      <c r="C67" s="734"/>
      <c r="D67" s="735"/>
      <c r="E67" s="736"/>
      <c r="F67" s="737"/>
      <c r="G67" s="738"/>
      <c r="H67" s="738"/>
      <c r="I67" s="739"/>
      <c r="J67" s="736"/>
      <c r="K67" s="740"/>
      <c r="L67" s="661">
        <f t="shared" si="0"/>
        <v>0</v>
      </c>
      <c r="M67" s="27"/>
      <c r="N67" s="741">
        <f t="shared" si="1"/>
        <v>0</v>
      </c>
    </row>
    <row r="68" spans="1:14" ht="13.5" hidden="1" thickBot="1">
      <c r="A68" s="733"/>
      <c r="B68" s="734"/>
      <c r="C68" s="734"/>
      <c r="D68" s="735"/>
      <c r="E68" s="736"/>
      <c r="F68" s="737"/>
      <c r="G68" s="738"/>
      <c r="H68" s="738"/>
      <c r="I68" s="739"/>
      <c r="J68" s="736"/>
      <c r="K68" s="740"/>
      <c r="L68" s="661">
        <f t="shared" si="0"/>
        <v>0</v>
      </c>
      <c r="M68" s="27"/>
      <c r="N68" s="741">
        <f t="shared" si="1"/>
        <v>0</v>
      </c>
    </row>
    <row r="69" spans="1:14" ht="13.5" hidden="1" thickBot="1">
      <c r="A69" s="733"/>
      <c r="B69" s="734"/>
      <c r="C69" s="734"/>
      <c r="D69" s="735"/>
      <c r="E69" s="736"/>
      <c r="F69" s="737"/>
      <c r="G69" s="738"/>
      <c r="H69" s="738"/>
      <c r="I69" s="739"/>
      <c r="J69" s="736"/>
      <c r="K69" s="740"/>
      <c r="L69" s="661">
        <f t="shared" si="0"/>
        <v>0</v>
      </c>
      <c r="M69" s="27"/>
      <c r="N69" s="741">
        <f t="shared" si="1"/>
        <v>0</v>
      </c>
    </row>
    <row r="70" spans="1:14" ht="13.5" hidden="1" thickBot="1">
      <c r="A70" s="733"/>
      <c r="B70" s="734"/>
      <c r="C70" s="734"/>
      <c r="D70" s="735"/>
      <c r="E70" s="736"/>
      <c r="F70" s="737"/>
      <c r="G70" s="738"/>
      <c r="H70" s="738"/>
      <c r="I70" s="739"/>
      <c r="J70" s="736"/>
      <c r="K70" s="740"/>
      <c r="L70" s="661">
        <f t="shared" si="0"/>
        <v>0</v>
      </c>
      <c r="M70" s="27"/>
      <c r="N70" s="741">
        <f t="shared" si="1"/>
        <v>0</v>
      </c>
    </row>
    <row r="71" spans="1:14" ht="13.5" hidden="1" thickBot="1">
      <c r="A71" s="733"/>
      <c r="B71" s="734"/>
      <c r="C71" s="734"/>
      <c r="D71" s="735"/>
      <c r="E71" s="736"/>
      <c r="F71" s="737"/>
      <c r="G71" s="738"/>
      <c r="H71" s="738"/>
      <c r="I71" s="739"/>
      <c r="J71" s="736"/>
      <c r="K71" s="740"/>
      <c r="L71" s="661">
        <f t="shared" si="0"/>
        <v>0</v>
      </c>
      <c r="M71" s="27"/>
      <c r="N71" s="741">
        <f t="shared" si="1"/>
        <v>0</v>
      </c>
    </row>
    <row r="72" spans="1:14" ht="13.5" hidden="1" thickBot="1">
      <c r="A72" s="733"/>
      <c r="B72" s="734"/>
      <c r="C72" s="734"/>
      <c r="D72" s="735"/>
      <c r="E72" s="736"/>
      <c r="F72" s="737"/>
      <c r="G72" s="738"/>
      <c r="H72" s="738"/>
      <c r="I72" s="739"/>
      <c r="J72" s="736"/>
      <c r="K72" s="740"/>
      <c r="L72" s="661">
        <f t="shared" si="0"/>
        <v>0</v>
      </c>
      <c r="M72" s="27"/>
      <c r="N72" s="741">
        <f t="shared" si="1"/>
        <v>0</v>
      </c>
    </row>
    <row r="73" spans="1:14" ht="13.5" hidden="1" thickBot="1">
      <c r="A73" s="733"/>
      <c r="B73" s="734"/>
      <c r="C73" s="734"/>
      <c r="D73" s="735"/>
      <c r="E73" s="736"/>
      <c r="F73" s="737"/>
      <c r="G73" s="738"/>
      <c r="H73" s="738"/>
      <c r="I73" s="739"/>
      <c r="J73" s="736"/>
      <c r="K73" s="740"/>
      <c r="L73" s="661">
        <f>I73-J73</f>
        <v>0</v>
      </c>
      <c r="M73" s="27"/>
      <c r="N73" s="741">
        <f>E73-J73</f>
        <v>0</v>
      </c>
    </row>
    <row r="74" spans="1:14" ht="13.5" hidden="1" thickBot="1">
      <c r="A74" s="733"/>
      <c r="B74" s="734"/>
      <c r="C74" s="734"/>
      <c r="D74" s="735"/>
      <c r="E74" s="736"/>
      <c r="F74" s="737"/>
      <c r="G74" s="738"/>
      <c r="H74" s="738"/>
      <c r="I74" s="739"/>
      <c r="J74" s="736"/>
      <c r="K74" s="740"/>
      <c r="L74" s="661">
        <f>I74-J74</f>
        <v>0</v>
      </c>
      <c r="M74" s="27"/>
      <c r="N74" s="741">
        <f>E74-J74</f>
        <v>0</v>
      </c>
    </row>
    <row r="75" spans="1:14" ht="13.5" hidden="1" thickBot="1">
      <c r="A75" s="742"/>
      <c r="B75" s="705"/>
      <c r="C75" s="705"/>
      <c r="D75" s="706"/>
      <c r="E75" s="743"/>
      <c r="F75" s="708"/>
      <c r="G75" s="709"/>
      <c r="H75" s="709"/>
      <c r="I75" s="710"/>
      <c r="J75" s="743"/>
      <c r="K75" s="744"/>
      <c r="L75" s="672">
        <f>I75-J75</f>
        <v>0</v>
      </c>
      <c r="M75" s="27"/>
      <c r="N75" s="713">
        <f>E75-J75</f>
        <v>0</v>
      </c>
    </row>
    <row r="76" spans="1:14" ht="14.25" thickBot="1" thickTop="1">
      <c r="A76" s="745"/>
      <c r="B76" s="746"/>
      <c r="C76" s="747" t="s">
        <v>8</v>
      </c>
      <c r="D76" s="748">
        <f>SUM(D3:D75)</f>
        <v>3617706.9799999995</v>
      </c>
      <c r="E76" s="749">
        <f>SUM(E3:E75)</f>
        <v>698627.6000000002</v>
      </c>
      <c r="F76" s="135"/>
      <c r="G76" s="135"/>
      <c r="H76" s="135"/>
      <c r="I76" s="750">
        <f>+I12+I19+I22+I34+I38+I44+I46</f>
        <v>121621.23000000001</v>
      </c>
      <c r="J76" s="750">
        <f>+J12+J19+J22+J34+J38+J44+J46</f>
        <v>97443.72</v>
      </c>
      <c r="K76" s="135"/>
      <c r="L76" s="750">
        <f>+L12+L19+L22+L34+L38+L44+L46</f>
        <v>24177.509999999995</v>
      </c>
      <c r="M76" s="135"/>
      <c r="N76" s="751">
        <f>+N12+N19+N22+N34+N38+N44+N46</f>
        <v>601183.88</v>
      </c>
    </row>
    <row r="77" ht="13.5" thickTop="1"/>
    <row r="78" spans="9:17" s="883" customFormat="1" ht="9.75">
      <c r="I78" s="875">
        <f>I3+I39</f>
        <v>0</v>
      </c>
      <c r="J78" s="875">
        <f>J3+J39</f>
        <v>0</v>
      </c>
      <c r="K78" s="879"/>
      <c r="L78" s="875">
        <f>L3+L39</f>
        <v>0</v>
      </c>
      <c r="M78" s="884" t="s">
        <v>181</v>
      </c>
      <c r="N78" s="875">
        <f>N3+N39</f>
        <v>0</v>
      </c>
      <c r="P78" s="853"/>
      <c r="Q78" s="853"/>
    </row>
    <row r="79" spans="1:17" s="752" customFormat="1" ht="9.75">
      <c r="A79" s="752" t="s">
        <v>42</v>
      </c>
      <c r="I79" s="874">
        <f>I76-I78-I21</f>
        <v>110924.56000000001</v>
      </c>
      <c r="J79" s="874">
        <f>J76-J78-J21</f>
        <v>91323.26</v>
      </c>
      <c r="K79" s="770"/>
      <c r="L79" s="874">
        <f>L76-L78-L21</f>
        <v>19601.299999999996</v>
      </c>
      <c r="M79" s="793" t="s">
        <v>188</v>
      </c>
      <c r="N79" s="874">
        <f>N76-N78-N21</f>
        <v>453245.24</v>
      </c>
      <c r="P79" s="770"/>
      <c r="Q79" s="770"/>
    </row>
    <row r="80" spans="9:17" s="752" customFormat="1" ht="9.75">
      <c r="I80" s="874">
        <f>I21</f>
        <v>10696.67</v>
      </c>
      <c r="J80" s="874">
        <f>J21</f>
        <v>6120.46</v>
      </c>
      <c r="K80" s="770"/>
      <c r="L80" s="874">
        <f>L21</f>
        <v>4576.21</v>
      </c>
      <c r="M80" s="793" t="s">
        <v>212</v>
      </c>
      <c r="N80" s="690">
        <f>N21</f>
        <v>147938.64</v>
      </c>
      <c r="P80" s="770"/>
      <c r="Q80" s="770"/>
    </row>
    <row r="81" spans="10:17" s="752" customFormat="1" ht="9.75">
      <c r="J81" s="887"/>
      <c r="L81" s="830"/>
      <c r="M81" s="830"/>
      <c r="P81" s="770"/>
      <c r="Q81" s="770"/>
    </row>
  </sheetData>
  <sheetProtection/>
  <mergeCells count="9">
    <mergeCell ref="K25:K31"/>
    <mergeCell ref="K39:K43"/>
    <mergeCell ref="M39:M43"/>
    <mergeCell ref="A1:N1"/>
    <mergeCell ref="K3:K11"/>
    <mergeCell ref="M3:M11"/>
    <mergeCell ref="K13:K18"/>
    <mergeCell ref="M13:M18"/>
    <mergeCell ref="K20:K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showGridLines="0" zoomScalePageLayoutView="0" workbookViewId="0" topLeftCell="C2">
      <selection activeCell="E107" sqref="E107"/>
    </sheetView>
  </sheetViews>
  <sheetFormatPr defaultColWidth="9.140625" defaultRowHeight="12.75"/>
  <cols>
    <col min="1" max="1" width="10.7109375" style="2" customWidth="1"/>
    <col min="2" max="2" width="16.00390625" style="2" customWidth="1"/>
    <col min="3" max="3" width="17.14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ht="20.25" customHeight="1" thickBot="1">
      <c r="A1" s="955" t="s">
        <v>60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47</v>
      </c>
      <c r="F2" s="138" t="s">
        <v>3</v>
      </c>
      <c r="G2" s="138" t="s">
        <v>4</v>
      </c>
      <c r="H2" s="138" t="s">
        <v>5</v>
      </c>
      <c r="I2" s="138" t="s">
        <v>48</v>
      </c>
      <c r="J2" s="138" t="s">
        <v>49</v>
      </c>
      <c r="K2" s="138" t="s">
        <v>6</v>
      </c>
      <c r="L2" s="164" t="s">
        <v>55</v>
      </c>
      <c r="M2" s="138" t="s">
        <v>6</v>
      </c>
      <c r="N2" s="139" t="s">
        <v>58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f>'2005'!N3</f>
        <v>387180.02</v>
      </c>
      <c r="F3" s="48">
        <v>4.8</v>
      </c>
      <c r="G3" s="49">
        <v>2004</v>
      </c>
      <c r="H3" s="49">
        <v>2023</v>
      </c>
      <c r="I3" s="50">
        <v>32365.92</v>
      </c>
      <c r="J3" s="15">
        <v>13946.66</v>
      </c>
      <c r="K3" s="34" t="s">
        <v>42</v>
      </c>
      <c r="L3" s="15">
        <f>I3-J3</f>
        <v>18419.26</v>
      </c>
      <c r="M3" s="35" t="s">
        <v>42</v>
      </c>
      <c r="N3" s="165">
        <f>E3-J3</f>
        <v>373233.36000000004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f>'2005'!N4</f>
        <v>135319.56</v>
      </c>
      <c r="F4" s="48">
        <v>5.25</v>
      </c>
      <c r="G4" s="49">
        <v>2002.2021</v>
      </c>
      <c r="H4" s="49">
        <v>2021</v>
      </c>
      <c r="I4" s="50">
        <v>12605.48</v>
      </c>
      <c r="J4" s="15">
        <v>5573.41</v>
      </c>
      <c r="K4" s="34"/>
      <c r="L4" s="15">
        <f aca="true" t="shared" si="0" ref="L4:L69">I4-J4</f>
        <v>7032.07</v>
      </c>
      <c r="M4" s="35"/>
      <c r="N4" s="166">
        <f aca="true" t="shared" si="1" ref="N4:N69">E4-J4</f>
        <v>129746.15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f>'2005'!N5</f>
        <v>87229.64</v>
      </c>
      <c r="F5" s="48">
        <v>5.75</v>
      </c>
      <c r="G5" s="49">
        <v>2001</v>
      </c>
      <c r="H5" s="49">
        <v>2020</v>
      </c>
      <c r="I5" s="50">
        <v>8757.58</v>
      </c>
      <c r="J5" s="15">
        <v>3795.65</v>
      </c>
      <c r="K5" s="34"/>
      <c r="L5" s="15">
        <f t="shared" si="0"/>
        <v>4961.93</v>
      </c>
      <c r="M5" s="35"/>
      <c r="N5" s="166">
        <f t="shared" si="1"/>
        <v>83433.99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f>'2005'!N6</f>
        <v>65422.229999999996</v>
      </c>
      <c r="F6" s="48">
        <v>5.75</v>
      </c>
      <c r="G6" s="49">
        <v>2001</v>
      </c>
      <c r="H6" s="49">
        <v>2020</v>
      </c>
      <c r="I6" s="50">
        <v>6568.17</v>
      </c>
      <c r="J6" s="15">
        <v>2846.74</v>
      </c>
      <c r="K6" s="34"/>
      <c r="L6" s="15">
        <f t="shared" si="0"/>
        <v>3721.4300000000003</v>
      </c>
      <c r="M6" s="35"/>
      <c r="N6" s="166">
        <f t="shared" si="1"/>
        <v>62575.49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f>'2005'!N7</f>
        <v>125353.73000000001</v>
      </c>
      <c r="F7" s="48">
        <v>0</v>
      </c>
      <c r="G7" s="49">
        <v>2000</v>
      </c>
      <c r="H7" s="49">
        <v>2019</v>
      </c>
      <c r="I7" s="50">
        <v>12653.88</v>
      </c>
      <c r="J7" s="15">
        <v>8953.84</v>
      </c>
      <c r="K7" s="34">
        <v>3030</v>
      </c>
      <c r="L7" s="15">
        <f t="shared" si="0"/>
        <v>3700.039999999999</v>
      </c>
      <c r="M7" s="35">
        <v>283</v>
      </c>
      <c r="N7" s="166">
        <f t="shared" si="1"/>
        <v>116399.89000000001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f>'2005'!N8</f>
        <v>4641.24</v>
      </c>
      <c r="F8" s="48">
        <v>6.5</v>
      </c>
      <c r="G8" s="49">
        <v>1998</v>
      </c>
      <c r="H8" s="49">
        <v>2017</v>
      </c>
      <c r="I8" s="50">
        <v>562.98</v>
      </c>
      <c r="J8" s="15">
        <v>265.54</v>
      </c>
      <c r="K8" s="34"/>
      <c r="L8" s="15">
        <f t="shared" si="0"/>
        <v>297.44</v>
      </c>
      <c r="M8" s="35"/>
      <c r="N8" s="166">
        <f t="shared" si="1"/>
        <v>4375.7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f>'2005'!N9</f>
        <v>111390.23</v>
      </c>
      <c r="F9" s="48">
        <v>6.5</v>
      </c>
      <c r="G9" s="49">
        <v>1998</v>
      </c>
      <c r="H9" s="49">
        <v>2017</v>
      </c>
      <c r="I9" s="50">
        <v>13511.4</v>
      </c>
      <c r="J9" s="15">
        <v>6372.94</v>
      </c>
      <c r="K9" s="34"/>
      <c r="L9" s="15">
        <f t="shared" si="0"/>
        <v>7138.46</v>
      </c>
      <c r="M9" s="35"/>
      <c r="N9" s="166">
        <f t="shared" si="1"/>
        <v>105017.29</v>
      </c>
    </row>
    <row r="10" spans="1:14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f>'2005'!N10</f>
        <v>2231.2099999999996</v>
      </c>
      <c r="F10" s="48">
        <v>6.5</v>
      </c>
      <c r="G10" s="49">
        <v>1978</v>
      </c>
      <c r="H10" s="49">
        <v>2012</v>
      </c>
      <c r="I10" s="50">
        <v>401.8</v>
      </c>
      <c r="J10" s="15">
        <v>260.95</v>
      </c>
      <c r="K10" s="34"/>
      <c r="L10" s="15">
        <f t="shared" si="0"/>
        <v>140.85000000000002</v>
      </c>
      <c r="M10" s="35"/>
      <c r="N10" s="166">
        <f t="shared" si="1"/>
        <v>1970.2599999999995</v>
      </c>
    </row>
    <row r="11" spans="1:14" ht="12.75">
      <c r="A11" s="143">
        <v>647568</v>
      </c>
      <c r="B11" s="46" t="s">
        <v>7</v>
      </c>
      <c r="C11" s="46" t="s">
        <v>15</v>
      </c>
      <c r="D11" s="83">
        <v>17636.83</v>
      </c>
      <c r="E11" s="55">
        <f>'2005'!N11</f>
        <v>7123.46</v>
      </c>
      <c r="F11" s="85">
        <v>6.5</v>
      </c>
      <c r="G11" s="86">
        <v>1976.2011</v>
      </c>
      <c r="H11" s="86">
        <v>2011</v>
      </c>
      <c r="I11" s="89">
        <v>1452.72</v>
      </c>
      <c r="J11" s="90">
        <v>1005.77</v>
      </c>
      <c r="K11" s="34"/>
      <c r="L11" s="90">
        <f t="shared" si="0"/>
        <v>446.95000000000005</v>
      </c>
      <c r="M11" s="35"/>
      <c r="N11" s="166">
        <f t="shared" si="1"/>
        <v>6117.6900000000005</v>
      </c>
    </row>
    <row r="12" spans="1:14" ht="13.5" thickBot="1">
      <c r="A12" s="222" t="s">
        <v>77</v>
      </c>
      <c r="B12" s="82" t="s">
        <v>7</v>
      </c>
      <c r="C12" s="82" t="s">
        <v>75</v>
      </c>
      <c r="D12" s="83">
        <v>80000</v>
      </c>
      <c r="E12" s="84">
        <v>80000</v>
      </c>
      <c r="F12" s="85">
        <v>3.72</v>
      </c>
      <c r="G12" s="86">
        <v>2006</v>
      </c>
      <c r="H12" s="86">
        <v>2025</v>
      </c>
      <c r="I12" s="89">
        <v>5706.27</v>
      </c>
      <c r="J12" s="90">
        <v>2755.66</v>
      </c>
      <c r="K12" s="34"/>
      <c r="L12" s="90">
        <f t="shared" si="0"/>
        <v>2950.6100000000006</v>
      </c>
      <c r="M12" s="35"/>
      <c r="N12" s="166">
        <f t="shared" si="1"/>
        <v>77244.34</v>
      </c>
    </row>
    <row r="13" spans="1:14" ht="13.5" thickBot="1">
      <c r="A13" s="145"/>
      <c r="B13" s="98"/>
      <c r="C13" s="98"/>
      <c r="D13" s="99"/>
      <c r="E13" s="100"/>
      <c r="F13" s="101"/>
      <c r="G13" s="102"/>
      <c r="H13" s="103" t="s">
        <v>43</v>
      </c>
      <c r="I13" s="104">
        <f>SUM(I3:I12)</f>
        <v>94586.2</v>
      </c>
      <c r="J13" s="100">
        <f>SUM(J3:J12)</f>
        <v>45777.16</v>
      </c>
      <c r="K13" s="105"/>
      <c r="L13" s="106">
        <f t="shared" si="0"/>
        <v>48809.03999999999</v>
      </c>
      <c r="M13" s="107"/>
      <c r="N13" s="146">
        <f>SUM(N3:N12)</f>
        <v>960114.1599999999</v>
      </c>
    </row>
    <row r="14" spans="1:14" ht="12.75">
      <c r="A14" s="147">
        <v>4367661</v>
      </c>
      <c r="B14" s="91" t="s">
        <v>20</v>
      </c>
      <c r="C14" s="91" t="s">
        <v>21</v>
      </c>
      <c r="D14" s="92">
        <v>51645.69</v>
      </c>
      <c r="E14" s="56">
        <f>'2005'!N14</f>
        <v>43614.80999999999</v>
      </c>
      <c r="F14" s="93">
        <v>5.75</v>
      </c>
      <c r="G14" s="94">
        <v>2001</v>
      </c>
      <c r="H14" s="94">
        <v>2020</v>
      </c>
      <c r="I14" s="95">
        <v>4378.78</v>
      </c>
      <c r="J14" s="96">
        <v>1897.83</v>
      </c>
      <c r="K14" s="65"/>
      <c r="L14" s="97">
        <f t="shared" si="0"/>
        <v>2480.95</v>
      </c>
      <c r="M14" s="66"/>
      <c r="N14" s="167">
        <f t="shared" si="1"/>
        <v>41716.97999999999</v>
      </c>
    </row>
    <row r="15" spans="1:14" ht="12.75">
      <c r="A15" s="140">
        <v>4363580</v>
      </c>
      <c r="B15" s="46" t="s">
        <v>20</v>
      </c>
      <c r="C15" s="46" t="s">
        <v>22</v>
      </c>
      <c r="D15" s="47">
        <v>77468.53</v>
      </c>
      <c r="E15" s="55">
        <f>'2005'!N15</f>
        <v>65422.229999999996</v>
      </c>
      <c r="F15" s="48">
        <v>5.75</v>
      </c>
      <c r="G15" s="49">
        <v>2001</v>
      </c>
      <c r="H15" s="49">
        <v>2020</v>
      </c>
      <c r="I15" s="50">
        <v>6568.17</v>
      </c>
      <c r="J15" s="43">
        <v>2846.74</v>
      </c>
      <c r="K15" s="65"/>
      <c r="L15" s="42">
        <f t="shared" si="0"/>
        <v>3721.4300000000003</v>
      </c>
      <c r="M15" s="66"/>
      <c r="N15" s="167">
        <f t="shared" si="1"/>
        <v>62575.49</v>
      </c>
    </row>
    <row r="16" spans="1:14" ht="12.75">
      <c r="A16" s="142" t="s">
        <v>23</v>
      </c>
      <c r="B16" s="46" t="s">
        <v>20</v>
      </c>
      <c r="C16" s="46" t="s">
        <v>24</v>
      </c>
      <c r="D16" s="47">
        <v>55628.72</v>
      </c>
      <c r="E16" s="55">
        <f>'2005'!N16</f>
        <v>41328.85999999999</v>
      </c>
      <c r="F16" s="48">
        <v>4.85</v>
      </c>
      <c r="G16" s="49">
        <v>1999</v>
      </c>
      <c r="H16" s="49">
        <v>2018</v>
      </c>
      <c r="I16" s="50">
        <v>4323.16</v>
      </c>
      <c r="J16" s="43">
        <v>2346.82</v>
      </c>
      <c r="K16" s="65">
        <v>3030</v>
      </c>
      <c r="L16" s="42">
        <f t="shared" si="0"/>
        <v>1976.3399999999997</v>
      </c>
      <c r="M16" s="66">
        <v>518</v>
      </c>
      <c r="N16" s="167">
        <f t="shared" si="1"/>
        <v>38982.03999999999</v>
      </c>
    </row>
    <row r="17" spans="1:14" ht="13.5" thickBot="1">
      <c r="A17" s="143">
        <v>4271244</v>
      </c>
      <c r="B17" s="82" t="s">
        <v>20</v>
      </c>
      <c r="C17" s="82" t="s">
        <v>25</v>
      </c>
      <c r="D17" s="83">
        <v>69205.22</v>
      </c>
      <c r="E17" s="84">
        <f>'2005'!N17</f>
        <v>46656.48</v>
      </c>
      <c r="F17" s="85">
        <v>6.5</v>
      </c>
      <c r="G17" s="86">
        <v>1996</v>
      </c>
      <c r="H17" s="86">
        <v>2015</v>
      </c>
      <c r="I17" s="89">
        <v>6417.96</v>
      </c>
      <c r="J17" s="157">
        <v>3440.31</v>
      </c>
      <c r="K17" s="65"/>
      <c r="L17" s="108">
        <f t="shared" si="0"/>
        <v>2977.65</v>
      </c>
      <c r="M17" s="66"/>
      <c r="N17" s="168">
        <f t="shared" si="1"/>
        <v>43216.170000000006</v>
      </c>
    </row>
    <row r="18" spans="1:14" ht="13.5" thickBot="1">
      <c r="A18" s="145"/>
      <c r="B18" s="98"/>
      <c r="C18" s="98"/>
      <c r="D18" s="99"/>
      <c r="E18" s="110" t="s">
        <v>42</v>
      </c>
      <c r="F18" s="101"/>
      <c r="G18" s="102"/>
      <c r="H18" s="103" t="s">
        <v>43</v>
      </c>
      <c r="I18" s="104">
        <f>SUM(I14:I17)</f>
        <v>21688.07</v>
      </c>
      <c r="J18" s="100">
        <f>SUM(J14:J17)</f>
        <v>10531.699999999999</v>
      </c>
      <c r="K18" s="105"/>
      <c r="L18" s="106">
        <f t="shared" si="0"/>
        <v>11156.37</v>
      </c>
      <c r="M18" s="107"/>
      <c r="N18" s="169">
        <f>SUM(N14:N17)</f>
        <v>186490.68</v>
      </c>
    </row>
    <row r="19" spans="1:14" ht="13.5" thickBot="1">
      <c r="A19" s="149">
        <v>22851</v>
      </c>
      <c r="B19" s="111" t="s">
        <v>26</v>
      </c>
      <c r="C19" s="111" t="s">
        <v>27</v>
      </c>
      <c r="D19" s="112">
        <v>77468.53</v>
      </c>
      <c r="E19" s="113">
        <f>'2005'!N20</f>
        <v>62053.22</v>
      </c>
      <c r="F19" s="114">
        <v>5</v>
      </c>
      <c r="G19" s="115">
        <v>2002</v>
      </c>
      <c r="H19" s="115">
        <v>2016</v>
      </c>
      <c r="I19" s="116">
        <v>7402.53</v>
      </c>
      <c r="J19" s="117">
        <v>4353.62</v>
      </c>
      <c r="K19" s="34">
        <v>3040</v>
      </c>
      <c r="L19" s="118">
        <f t="shared" si="0"/>
        <v>3048.91</v>
      </c>
      <c r="M19" s="66">
        <v>645</v>
      </c>
      <c r="N19" s="170">
        <f t="shared" si="1"/>
        <v>57699.6</v>
      </c>
    </row>
    <row r="20" spans="1:14" ht="13.5" thickBot="1">
      <c r="A20" s="145"/>
      <c r="B20" s="98"/>
      <c r="C20" s="98"/>
      <c r="D20" s="99"/>
      <c r="E20" s="100" t="s">
        <v>42</v>
      </c>
      <c r="F20" s="101"/>
      <c r="G20" s="103"/>
      <c r="H20" s="103" t="s">
        <v>43</v>
      </c>
      <c r="I20" s="104">
        <f>SUM(I19)</f>
        <v>7402.53</v>
      </c>
      <c r="J20" s="100">
        <f>SUM(J19)</f>
        <v>4353.62</v>
      </c>
      <c r="K20" s="107"/>
      <c r="L20" s="106">
        <f t="shared" si="0"/>
        <v>3048.91</v>
      </c>
      <c r="M20" s="107"/>
      <c r="N20" s="171">
        <f>SUM(N19)</f>
        <v>57699.6</v>
      </c>
    </row>
    <row r="21" spans="1:14" ht="12.75">
      <c r="A21" s="151" t="s">
        <v>28</v>
      </c>
      <c r="B21" s="91" t="s">
        <v>20</v>
      </c>
      <c r="C21" s="91" t="s">
        <v>29</v>
      </c>
      <c r="D21" s="92">
        <v>17559.53</v>
      </c>
      <c r="E21" s="56">
        <f>'2005'!N22</f>
        <v>14829.029999999999</v>
      </c>
      <c r="F21" s="93">
        <v>5.75</v>
      </c>
      <c r="G21" s="94">
        <v>2001</v>
      </c>
      <c r="H21" s="94">
        <v>2020</v>
      </c>
      <c r="I21" s="95">
        <v>1488.78</v>
      </c>
      <c r="J21" s="109">
        <v>645.26</v>
      </c>
      <c r="K21" s="34"/>
      <c r="L21" s="109">
        <f t="shared" si="0"/>
        <v>843.52</v>
      </c>
      <c r="M21" s="35"/>
      <c r="N21" s="141">
        <f t="shared" si="1"/>
        <v>14183.769999999999</v>
      </c>
    </row>
    <row r="22" spans="1:14" ht="12.75">
      <c r="A22" s="140">
        <v>4364549</v>
      </c>
      <c r="B22" s="46" t="s">
        <v>20</v>
      </c>
      <c r="C22" s="46" t="s">
        <v>29</v>
      </c>
      <c r="D22" s="47">
        <v>137377.54</v>
      </c>
      <c r="E22" s="55">
        <f>'2005'!N23</f>
        <v>116015.43000000001</v>
      </c>
      <c r="F22" s="48">
        <v>5.75</v>
      </c>
      <c r="G22" s="49">
        <v>2001</v>
      </c>
      <c r="H22" s="49">
        <v>2020</v>
      </c>
      <c r="I22" s="50">
        <v>11647.56</v>
      </c>
      <c r="J22" s="15">
        <v>5048.22</v>
      </c>
      <c r="K22" s="34"/>
      <c r="L22" s="15">
        <f t="shared" si="0"/>
        <v>6599.339999999999</v>
      </c>
      <c r="M22" s="35"/>
      <c r="N22" s="141">
        <f t="shared" si="1"/>
        <v>110967.21</v>
      </c>
    </row>
    <row r="23" spans="1:14" ht="12.75">
      <c r="A23" s="140">
        <v>4297871</v>
      </c>
      <c r="B23" s="46" t="s">
        <v>20</v>
      </c>
      <c r="C23" s="46" t="s">
        <v>29</v>
      </c>
      <c r="D23" s="47">
        <v>129114.22</v>
      </c>
      <c r="E23" s="55">
        <f>'2005'!N24</f>
        <v>91992.05</v>
      </c>
      <c r="F23" s="48">
        <v>6.5</v>
      </c>
      <c r="G23" s="49">
        <v>1997</v>
      </c>
      <c r="H23" s="49">
        <v>2016</v>
      </c>
      <c r="I23" s="50">
        <v>11835.58</v>
      </c>
      <c r="J23" s="15">
        <v>5951.26</v>
      </c>
      <c r="K23" s="34"/>
      <c r="L23" s="15">
        <f t="shared" si="0"/>
        <v>5884.32</v>
      </c>
      <c r="M23" s="35"/>
      <c r="N23" s="141">
        <f t="shared" si="1"/>
        <v>86040.79000000001</v>
      </c>
    </row>
    <row r="24" spans="1:14" ht="12.75">
      <c r="A24" s="140">
        <v>4268507</v>
      </c>
      <c r="B24" s="46" t="s">
        <v>20</v>
      </c>
      <c r="C24" s="46" t="s">
        <v>29</v>
      </c>
      <c r="D24" s="47">
        <v>77468.53</v>
      </c>
      <c r="E24" s="55">
        <f>'2005'!N25</f>
        <v>52227.43</v>
      </c>
      <c r="F24" s="48">
        <v>6.5</v>
      </c>
      <c r="G24" s="49">
        <v>1996</v>
      </c>
      <c r="H24" s="49">
        <v>2015</v>
      </c>
      <c r="I24" s="50">
        <v>7184.3</v>
      </c>
      <c r="J24" s="15">
        <v>3851.08</v>
      </c>
      <c r="K24" s="34"/>
      <c r="L24" s="15">
        <f t="shared" si="0"/>
        <v>3333.2200000000003</v>
      </c>
      <c r="M24" s="35"/>
      <c r="N24" s="141">
        <f t="shared" si="1"/>
        <v>48376.35</v>
      </c>
    </row>
    <row r="25" spans="1:14" ht="12.75">
      <c r="A25" s="142" t="s">
        <v>30</v>
      </c>
      <c r="B25" s="46" t="s">
        <v>20</v>
      </c>
      <c r="C25" s="46" t="s">
        <v>29</v>
      </c>
      <c r="D25" s="47">
        <v>74741.64</v>
      </c>
      <c r="E25" s="55">
        <f>'2005'!N26</f>
        <v>43448.490000000005</v>
      </c>
      <c r="F25" s="48">
        <v>6.5</v>
      </c>
      <c r="G25" s="49">
        <v>1981</v>
      </c>
      <c r="H25" s="49">
        <v>2015</v>
      </c>
      <c r="I25" s="50">
        <v>5976.68</v>
      </c>
      <c r="J25" s="15">
        <v>3203.75</v>
      </c>
      <c r="K25" s="34">
        <v>3030</v>
      </c>
      <c r="L25" s="15">
        <f t="shared" si="0"/>
        <v>2772.9300000000003</v>
      </c>
      <c r="M25" s="35">
        <v>760</v>
      </c>
      <c r="N25" s="141">
        <f t="shared" si="1"/>
        <v>40244.740000000005</v>
      </c>
    </row>
    <row r="26" spans="1:14" ht="12.75">
      <c r="A26" s="140">
        <v>687881</v>
      </c>
      <c r="B26" s="46" t="s">
        <v>20</v>
      </c>
      <c r="C26" s="46" t="s">
        <v>29</v>
      </c>
      <c r="D26" s="47">
        <v>10329.14</v>
      </c>
      <c r="E26" s="55">
        <f>'2005'!N27</f>
        <v>4171.87</v>
      </c>
      <c r="F26" s="48">
        <v>6.5</v>
      </c>
      <c r="G26" s="49">
        <v>1977</v>
      </c>
      <c r="H26" s="49">
        <v>2011</v>
      </c>
      <c r="I26" s="50">
        <v>850.8</v>
      </c>
      <c r="J26" s="15">
        <v>589.04</v>
      </c>
      <c r="K26" s="34"/>
      <c r="L26" s="15">
        <f t="shared" si="0"/>
        <v>261.76</v>
      </c>
      <c r="M26" s="35"/>
      <c r="N26" s="141">
        <f t="shared" si="1"/>
        <v>3582.83</v>
      </c>
    </row>
    <row r="27" spans="1:14" ht="12.75">
      <c r="A27" s="142" t="s">
        <v>31</v>
      </c>
      <c r="B27" s="46" t="s">
        <v>20</v>
      </c>
      <c r="C27" s="46" t="s">
        <v>29</v>
      </c>
      <c r="D27" s="47">
        <v>5087.74</v>
      </c>
      <c r="E27" s="55">
        <f>'2005'!N28</f>
        <v>1190.7600000000002</v>
      </c>
      <c r="F27" s="48">
        <v>5</v>
      </c>
      <c r="G27" s="49">
        <v>1975</v>
      </c>
      <c r="H27" s="49">
        <v>2009</v>
      </c>
      <c r="I27" s="50">
        <v>331.66</v>
      </c>
      <c r="J27" s="15">
        <v>276.26</v>
      </c>
      <c r="K27" s="34"/>
      <c r="L27" s="15">
        <f t="shared" si="0"/>
        <v>55.400000000000034</v>
      </c>
      <c r="M27" s="35"/>
      <c r="N27" s="141">
        <f t="shared" si="1"/>
        <v>914.5000000000002</v>
      </c>
    </row>
    <row r="28" spans="1:14" ht="12.75">
      <c r="A28" s="140">
        <v>3033507</v>
      </c>
      <c r="B28" s="46" t="s">
        <v>20</v>
      </c>
      <c r="C28" s="46" t="s">
        <v>29</v>
      </c>
      <c r="D28" s="47">
        <v>23240.56</v>
      </c>
      <c r="E28" s="55">
        <f>'2005'!N29</f>
        <v>11616.94</v>
      </c>
      <c r="F28" s="48">
        <v>6.5</v>
      </c>
      <c r="G28" s="49">
        <v>1979</v>
      </c>
      <c r="H28" s="49">
        <v>2013</v>
      </c>
      <c r="I28" s="50">
        <v>1885.2</v>
      </c>
      <c r="J28" s="15">
        <v>1148.47</v>
      </c>
      <c r="K28" s="34"/>
      <c r="L28" s="15">
        <f t="shared" si="0"/>
        <v>736.73</v>
      </c>
      <c r="M28" s="35"/>
      <c r="N28" s="141">
        <f t="shared" si="1"/>
        <v>10468.470000000001</v>
      </c>
    </row>
    <row r="29" spans="1:14" ht="12.75">
      <c r="A29" s="143">
        <v>634153</v>
      </c>
      <c r="B29" s="82" t="s">
        <v>20</v>
      </c>
      <c r="C29" s="82" t="s">
        <v>29</v>
      </c>
      <c r="D29" s="83">
        <v>1549.37</v>
      </c>
      <c r="E29" s="55">
        <f>'2005'!N30</f>
        <v>191.70999999999998</v>
      </c>
      <c r="F29" s="85">
        <v>5</v>
      </c>
      <c r="G29" s="86">
        <v>1972</v>
      </c>
      <c r="H29" s="86">
        <v>2007</v>
      </c>
      <c r="I29" s="89">
        <v>101.82</v>
      </c>
      <c r="J29" s="90">
        <v>93.52</v>
      </c>
      <c r="K29" s="34"/>
      <c r="L29" s="90">
        <f>I29-J29</f>
        <v>8.299999999999997</v>
      </c>
      <c r="M29" s="35"/>
      <c r="N29" s="141">
        <f>E29-J29</f>
        <v>98.18999999999998</v>
      </c>
    </row>
    <row r="30" spans="1:14" ht="12.75">
      <c r="A30" s="219">
        <v>4464738</v>
      </c>
      <c r="B30" s="218" t="s">
        <v>20</v>
      </c>
      <c r="C30" s="218" t="s">
        <v>29</v>
      </c>
      <c r="D30" s="197">
        <v>160000</v>
      </c>
      <c r="E30" s="198">
        <v>160000</v>
      </c>
      <c r="F30" s="199">
        <v>3.4</v>
      </c>
      <c r="G30" s="182">
        <v>2006</v>
      </c>
      <c r="H30" s="182">
        <v>2025</v>
      </c>
      <c r="I30" s="200">
        <v>11091.2</v>
      </c>
      <c r="J30" s="201">
        <v>5699.23</v>
      </c>
      <c r="K30" s="34"/>
      <c r="L30" s="201">
        <f>I30-J30</f>
        <v>5391.970000000001</v>
      </c>
      <c r="M30" s="35"/>
      <c r="N30" s="204">
        <f>E30-J30</f>
        <v>154300.77</v>
      </c>
    </row>
    <row r="31" spans="1:14" s="205" customFormat="1" ht="12.75">
      <c r="A31" s="219">
        <v>4478664</v>
      </c>
      <c r="B31" s="218" t="s">
        <v>20</v>
      </c>
      <c r="C31" s="218" t="s">
        <v>29</v>
      </c>
      <c r="D31" s="197">
        <v>53000</v>
      </c>
      <c r="E31" s="206">
        <v>53000</v>
      </c>
      <c r="F31" s="199">
        <v>3.4</v>
      </c>
      <c r="G31" s="182">
        <v>2006</v>
      </c>
      <c r="H31" s="182">
        <v>2025</v>
      </c>
      <c r="I31" s="200">
        <v>3673.96</v>
      </c>
      <c r="J31" s="201">
        <v>1887.87</v>
      </c>
      <c r="K31" s="202"/>
      <c r="L31" s="201">
        <f>I31-J31</f>
        <v>1786.0900000000001</v>
      </c>
      <c r="M31" s="203"/>
      <c r="N31" s="204">
        <f>E31-J31</f>
        <v>51112.13</v>
      </c>
    </row>
    <row r="32" spans="1:14" s="205" customFormat="1" ht="12.75">
      <c r="A32" s="221" t="s">
        <v>74</v>
      </c>
      <c r="B32" s="218" t="s">
        <v>20</v>
      </c>
      <c r="C32" s="218" t="s">
        <v>70</v>
      </c>
      <c r="D32" s="197">
        <v>100000</v>
      </c>
      <c r="E32" s="206">
        <v>100000</v>
      </c>
      <c r="F32" s="199">
        <v>3.72</v>
      </c>
      <c r="G32" s="182">
        <v>2006</v>
      </c>
      <c r="H32" s="182">
        <v>2025</v>
      </c>
      <c r="I32" s="200">
        <v>7132.84</v>
      </c>
      <c r="J32" s="201">
        <v>3444.58</v>
      </c>
      <c r="K32" s="202"/>
      <c r="L32" s="201">
        <f>I32-J32</f>
        <v>3688.26</v>
      </c>
      <c r="M32" s="203"/>
      <c r="N32" s="204">
        <f>E32-J32</f>
        <v>96555.42</v>
      </c>
    </row>
    <row r="33" spans="1:14" s="195" customFormat="1" ht="13.5" thickBot="1">
      <c r="A33" s="156"/>
      <c r="B33" s="208" t="s">
        <v>42</v>
      </c>
      <c r="C33" s="208"/>
      <c r="D33" s="186"/>
      <c r="E33" s="187"/>
      <c r="F33" s="188"/>
      <c r="G33" s="189"/>
      <c r="H33" s="189"/>
      <c r="I33" s="190"/>
      <c r="J33" s="191"/>
      <c r="K33" s="192"/>
      <c r="L33" s="191"/>
      <c r="M33" s="193"/>
      <c r="N33" s="194"/>
    </row>
    <row r="34" spans="1:14" ht="13.5" thickBot="1">
      <c r="A34" s="145"/>
      <c r="B34" s="98"/>
      <c r="C34" s="98"/>
      <c r="D34" s="99"/>
      <c r="E34" s="110" t="s">
        <v>42</v>
      </c>
      <c r="F34" s="101"/>
      <c r="G34" s="102"/>
      <c r="H34" s="103" t="s">
        <v>43</v>
      </c>
      <c r="I34" s="104">
        <f>SUM(I21:I33)</f>
        <v>63200.380000000005</v>
      </c>
      <c r="J34" s="100">
        <f>SUM(J21:J33)</f>
        <v>31838.54</v>
      </c>
      <c r="K34" s="107"/>
      <c r="L34" s="106">
        <f t="shared" si="0"/>
        <v>31361.840000000004</v>
      </c>
      <c r="M34" s="107"/>
      <c r="N34" s="169">
        <f>SUM(N21:N33)</f>
        <v>616845.17</v>
      </c>
    </row>
    <row r="35" spans="1:14" ht="12.75">
      <c r="A35" s="151" t="s">
        <v>32</v>
      </c>
      <c r="B35" s="91" t="s">
        <v>20</v>
      </c>
      <c r="C35" s="91" t="s">
        <v>33</v>
      </c>
      <c r="D35" s="92">
        <v>13180.75</v>
      </c>
      <c r="E35" s="56">
        <f>'2005'!N33</f>
        <v>9871</v>
      </c>
      <c r="F35" s="93">
        <v>6.5</v>
      </c>
      <c r="G35" s="94">
        <v>1998</v>
      </c>
      <c r="H35" s="94">
        <v>2017</v>
      </c>
      <c r="I35" s="95">
        <v>1197.32</v>
      </c>
      <c r="J35" s="109">
        <v>564.75</v>
      </c>
      <c r="K35" s="34"/>
      <c r="L35" s="109">
        <f t="shared" si="0"/>
        <v>632.5699999999999</v>
      </c>
      <c r="M35" s="35"/>
      <c r="N35" s="148">
        <f t="shared" si="1"/>
        <v>9306.25</v>
      </c>
    </row>
    <row r="36" spans="1:14" ht="12.75">
      <c r="A36" s="140">
        <v>4317937</v>
      </c>
      <c r="B36" s="46" t="s">
        <v>20</v>
      </c>
      <c r="C36" s="46" t="s">
        <v>33</v>
      </c>
      <c r="D36" s="47">
        <v>90110.63</v>
      </c>
      <c r="E36" s="55">
        <f>'2005'!N34</f>
        <v>67483.33</v>
      </c>
      <c r="F36" s="48">
        <v>6.5</v>
      </c>
      <c r="G36" s="49">
        <v>1998</v>
      </c>
      <c r="H36" s="49">
        <v>2017</v>
      </c>
      <c r="I36" s="50">
        <v>8185.58</v>
      </c>
      <c r="J36" s="15">
        <v>3860.9</v>
      </c>
      <c r="K36" s="34"/>
      <c r="L36" s="15">
        <f t="shared" si="0"/>
        <v>4324.68</v>
      </c>
      <c r="M36" s="35"/>
      <c r="N36" s="141">
        <f t="shared" si="1"/>
        <v>63622.43</v>
      </c>
    </row>
    <row r="37" spans="1:14" ht="12.75">
      <c r="A37" s="142" t="s">
        <v>34</v>
      </c>
      <c r="B37" s="46" t="s">
        <v>20</v>
      </c>
      <c r="C37" s="46" t="s">
        <v>33</v>
      </c>
      <c r="D37" s="47">
        <v>51645.69</v>
      </c>
      <c r="E37" s="55">
        <f>'2005'!N35</f>
        <v>38677.16</v>
      </c>
      <c r="F37" s="48">
        <v>6.5</v>
      </c>
      <c r="G37" s="49">
        <v>1998</v>
      </c>
      <c r="H37" s="49">
        <v>2017</v>
      </c>
      <c r="I37" s="50">
        <v>4691.46</v>
      </c>
      <c r="J37" s="15">
        <v>2212.83</v>
      </c>
      <c r="K37" s="34"/>
      <c r="L37" s="15">
        <f t="shared" si="0"/>
        <v>2478.63</v>
      </c>
      <c r="M37" s="35"/>
      <c r="N37" s="141">
        <f t="shared" si="1"/>
        <v>36464.33</v>
      </c>
    </row>
    <row r="38" spans="1:14" ht="12.75">
      <c r="A38" s="140">
        <v>4297902</v>
      </c>
      <c r="B38" s="46" t="s">
        <v>20</v>
      </c>
      <c r="C38" s="46" t="s">
        <v>33</v>
      </c>
      <c r="D38" s="47">
        <v>51645.69</v>
      </c>
      <c r="E38" s="55">
        <f>'2005'!N36</f>
        <v>36796.840000000004</v>
      </c>
      <c r="F38" s="48">
        <v>6.5</v>
      </c>
      <c r="G38" s="49">
        <v>1997</v>
      </c>
      <c r="H38" s="49">
        <v>2016</v>
      </c>
      <c r="I38" s="50">
        <v>4734.24</v>
      </c>
      <c r="J38" s="15">
        <v>2380.5</v>
      </c>
      <c r="K38" s="34"/>
      <c r="L38" s="15">
        <f t="shared" si="0"/>
        <v>2353.74</v>
      </c>
      <c r="M38" s="35"/>
      <c r="N38" s="141">
        <f t="shared" si="1"/>
        <v>34416.340000000004</v>
      </c>
    </row>
    <row r="39" spans="1:14" ht="12.75">
      <c r="A39" s="140">
        <v>4142025</v>
      </c>
      <c r="B39" s="46" t="s">
        <v>20</v>
      </c>
      <c r="C39" s="46" t="s">
        <v>33</v>
      </c>
      <c r="D39" s="47">
        <v>6722.63</v>
      </c>
      <c r="E39" s="55">
        <f>'2005'!N37</f>
        <v>2262.84</v>
      </c>
      <c r="F39" s="48">
        <v>6.5</v>
      </c>
      <c r="G39" s="49">
        <v>1990</v>
      </c>
      <c r="H39" s="49">
        <v>2009</v>
      </c>
      <c r="I39" s="50">
        <v>651.52</v>
      </c>
      <c r="J39" s="15">
        <v>512.64</v>
      </c>
      <c r="K39" s="34"/>
      <c r="L39" s="15">
        <f t="shared" si="0"/>
        <v>138.88</v>
      </c>
      <c r="M39" s="35"/>
      <c r="N39" s="141">
        <f t="shared" si="1"/>
        <v>1750.2000000000003</v>
      </c>
    </row>
    <row r="40" spans="1:14" ht="12.75">
      <c r="A40" s="142" t="s">
        <v>35</v>
      </c>
      <c r="B40" s="46" t="s">
        <v>20</v>
      </c>
      <c r="C40" s="46" t="s">
        <v>33</v>
      </c>
      <c r="D40" s="47">
        <v>96568.75</v>
      </c>
      <c r="E40" s="55">
        <f>'2005'!N38</f>
        <v>32505.1</v>
      </c>
      <c r="F40" s="48">
        <v>6.5</v>
      </c>
      <c r="G40" s="49">
        <v>1990</v>
      </c>
      <c r="H40" s="49">
        <v>2009</v>
      </c>
      <c r="I40" s="50">
        <v>9359.04</v>
      </c>
      <c r="J40" s="15">
        <v>7363.97</v>
      </c>
      <c r="K40" s="34">
        <v>3030</v>
      </c>
      <c r="L40" s="15">
        <f t="shared" si="0"/>
        <v>1995.0700000000006</v>
      </c>
      <c r="M40" s="35">
        <v>820</v>
      </c>
      <c r="N40" s="141">
        <f t="shared" si="1"/>
        <v>25141.129999999997</v>
      </c>
    </row>
    <row r="41" spans="1:14" ht="12.75">
      <c r="A41" s="140">
        <v>3078427</v>
      </c>
      <c r="B41" s="46" t="s">
        <v>20</v>
      </c>
      <c r="C41" s="46" t="s">
        <v>33</v>
      </c>
      <c r="D41" s="47">
        <v>144.61</v>
      </c>
      <c r="E41" s="55">
        <f>'2005'!N39</f>
        <v>84.05</v>
      </c>
      <c r="F41" s="48">
        <v>6.5</v>
      </c>
      <c r="G41" s="49">
        <v>1981</v>
      </c>
      <c r="H41" s="49">
        <v>2015</v>
      </c>
      <c r="I41" s="50">
        <v>11.56</v>
      </c>
      <c r="J41" s="15">
        <v>6.2</v>
      </c>
      <c r="K41" s="34"/>
      <c r="L41" s="15">
        <f t="shared" si="0"/>
        <v>5.36</v>
      </c>
      <c r="M41" s="35"/>
      <c r="N41" s="141">
        <f t="shared" si="1"/>
        <v>77.85</v>
      </c>
    </row>
    <row r="42" spans="1:14" ht="12.75">
      <c r="A42" s="142" t="s">
        <v>36</v>
      </c>
      <c r="B42" s="46" t="s">
        <v>20</v>
      </c>
      <c r="C42" s="46" t="s">
        <v>33</v>
      </c>
      <c r="D42" s="47">
        <v>3088.81</v>
      </c>
      <c r="E42" s="55">
        <f>'2005'!N40</f>
        <v>1401.8500000000001</v>
      </c>
      <c r="F42" s="48">
        <v>6.5</v>
      </c>
      <c r="G42" s="49">
        <v>1978</v>
      </c>
      <c r="H42" s="49">
        <v>2012</v>
      </c>
      <c r="I42" s="50">
        <v>252.44</v>
      </c>
      <c r="J42" s="15">
        <v>163.95</v>
      </c>
      <c r="K42" s="34"/>
      <c r="L42" s="15">
        <f t="shared" si="0"/>
        <v>88.49000000000001</v>
      </c>
      <c r="M42" s="35"/>
      <c r="N42" s="141">
        <f t="shared" si="1"/>
        <v>1237.9</v>
      </c>
    </row>
    <row r="43" spans="1:14" ht="12.75">
      <c r="A43" s="140">
        <v>675829</v>
      </c>
      <c r="B43" s="46" t="s">
        <v>20</v>
      </c>
      <c r="C43" s="46" t="s">
        <v>33</v>
      </c>
      <c r="D43" s="47">
        <v>2091.65</v>
      </c>
      <c r="E43" s="55">
        <f>'2005'!N41</f>
        <v>608.21</v>
      </c>
      <c r="F43" s="48">
        <v>6.5</v>
      </c>
      <c r="G43" s="49">
        <v>1975</v>
      </c>
      <c r="H43" s="49">
        <v>2009</v>
      </c>
      <c r="I43" s="50">
        <v>175.12</v>
      </c>
      <c r="J43" s="15">
        <v>137.79</v>
      </c>
      <c r="K43" s="34"/>
      <c r="L43" s="15">
        <f t="shared" si="0"/>
        <v>37.33000000000001</v>
      </c>
      <c r="M43" s="35"/>
      <c r="N43" s="141">
        <f t="shared" si="1"/>
        <v>470.4200000000001</v>
      </c>
    </row>
    <row r="44" spans="1:14" ht="12.75">
      <c r="A44" s="142" t="s">
        <v>37</v>
      </c>
      <c r="B44" s="46" t="s">
        <v>20</v>
      </c>
      <c r="C44" s="46" t="s">
        <v>33</v>
      </c>
      <c r="D44" s="47">
        <v>841.65</v>
      </c>
      <c r="E44" s="55">
        <f>'2005'!N42</f>
        <v>339.92</v>
      </c>
      <c r="F44" s="48">
        <v>6.5</v>
      </c>
      <c r="G44" s="49">
        <v>1977</v>
      </c>
      <c r="H44" s="49">
        <v>2011</v>
      </c>
      <c r="I44" s="50">
        <v>69.32</v>
      </c>
      <c r="J44" s="15">
        <v>47.99</v>
      </c>
      <c r="K44" s="34"/>
      <c r="L44" s="15">
        <f t="shared" si="0"/>
        <v>21.32999999999999</v>
      </c>
      <c r="M44" s="35"/>
      <c r="N44" s="141">
        <f t="shared" si="1"/>
        <v>291.93</v>
      </c>
    </row>
    <row r="45" spans="1:14" ht="12.75">
      <c r="A45" s="140">
        <v>630827</v>
      </c>
      <c r="B45" s="46" t="s">
        <v>20</v>
      </c>
      <c r="C45" s="46" t="s">
        <v>33</v>
      </c>
      <c r="D45" s="47">
        <v>1420.74</v>
      </c>
      <c r="E45" s="55">
        <f>'2005'!N43</f>
        <v>90.45000000000002</v>
      </c>
      <c r="F45" s="48">
        <v>5</v>
      </c>
      <c r="G45" s="49">
        <v>1972</v>
      </c>
      <c r="H45" s="49">
        <v>2006</v>
      </c>
      <c r="I45" s="50">
        <v>93.76</v>
      </c>
      <c r="J45" s="15">
        <v>90.45</v>
      </c>
      <c r="K45" s="34"/>
      <c r="L45" s="15">
        <f t="shared" si="0"/>
        <v>3.3100000000000023</v>
      </c>
      <c r="M45" s="35"/>
      <c r="N45" s="141">
        <f t="shared" si="1"/>
        <v>0</v>
      </c>
    </row>
    <row r="46" spans="1:14" ht="13.5" thickBot="1">
      <c r="A46" s="143">
        <v>619296</v>
      </c>
      <c r="B46" s="82" t="s">
        <v>20</v>
      </c>
      <c r="C46" s="82" t="s">
        <v>33</v>
      </c>
      <c r="D46" s="83">
        <v>710.37</v>
      </c>
      <c r="E46" s="84">
        <f>'2005'!N44</f>
        <v>45.19999999999999</v>
      </c>
      <c r="F46" s="85">
        <v>5</v>
      </c>
      <c r="G46" s="86">
        <v>1972</v>
      </c>
      <c r="H46" s="158">
        <v>2006</v>
      </c>
      <c r="I46" s="89">
        <v>46.9</v>
      </c>
      <c r="J46" s="90">
        <v>45.2</v>
      </c>
      <c r="K46" s="34"/>
      <c r="L46" s="90">
        <f t="shared" si="0"/>
        <v>1.6999999999999957</v>
      </c>
      <c r="M46" s="35"/>
      <c r="N46" s="144">
        <f t="shared" si="1"/>
        <v>0</v>
      </c>
    </row>
    <row r="47" spans="1:14" ht="13.5" thickBot="1">
      <c r="A47" s="145"/>
      <c r="B47" s="98"/>
      <c r="C47" s="98"/>
      <c r="D47" s="99"/>
      <c r="E47" s="100" t="s">
        <v>42</v>
      </c>
      <c r="F47" s="101"/>
      <c r="G47" s="102"/>
      <c r="H47" s="103" t="s">
        <v>43</v>
      </c>
      <c r="I47" s="104">
        <f>SUM(I35:I46)</f>
        <v>29468.26</v>
      </c>
      <c r="J47" s="100">
        <f>SUM(J35:J46)</f>
        <v>17387.170000000006</v>
      </c>
      <c r="K47" s="107"/>
      <c r="L47" s="106">
        <f t="shared" si="0"/>
        <v>12081.089999999993</v>
      </c>
      <c r="M47" s="107"/>
      <c r="N47" s="169">
        <f>SUM(N35:N46)</f>
        <v>172778.78000000003</v>
      </c>
    </row>
    <row r="48" spans="1:14" ht="12.75">
      <c r="A48" s="147">
        <v>4444717</v>
      </c>
      <c r="B48" s="91" t="s">
        <v>20</v>
      </c>
      <c r="C48" s="91" t="s">
        <v>38</v>
      </c>
      <c r="D48" s="92">
        <v>98000</v>
      </c>
      <c r="E48" s="56">
        <f>'2005'!N46</f>
        <v>91804.73999999999</v>
      </c>
      <c r="F48" s="93">
        <v>4.75</v>
      </c>
      <c r="G48" s="94">
        <v>2004</v>
      </c>
      <c r="H48" s="94">
        <v>2023</v>
      </c>
      <c r="I48" s="95">
        <v>7644.44</v>
      </c>
      <c r="J48" s="109">
        <v>3322.7</v>
      </c>
      <c r="K48" s="34"/>
      <c r="L48" s="109">
        <f t="shared" si="0"/>
        <v>4321.74</v>
      </c>
      <c r="M48" s="35"/>
      <c r="N48" s="148">
        <f t="shared" si="1"/>
        <v>88482.04</v>
      </c>
    </row>
    <row r="49" spans="1:14" ht="12.75">
      <c r="A49" s="140">
        <v>4388738</v>
      </c>
      <c r="B49" s="46" t="s">
        <v>20</v>
      </c>
      <c r="C49" s="46" t="s">
        <v>38</v>
      </c>
      <c r="D49" s="47">
        <v>103291.38</v>
      </c>
      <c r="E49" s="55">
        <f>'2005'!N47</f>
        <v>90517.19</v>
      </c>
      <c r="F49" s="48">
        <v>5.5</v>
      </c>
      <c r="G49" s="49">
        <v>2002</v>
      </c>
      <c r="H49" s="49">
        <v>2021</v>
      </c>
      <c r="I49" s="50">
        <v>8579.7</v>
      </c>
      <c r="J49" s="15">
        <v>3650.77</v>
      </c>
      <c r="K49" s="34"/>
      <c r="L49" s="15">
        <f t="shared" si="0"/>
        <v>4928.93</v>
      </c>
      <c r="M49" s="35"/>
      <c r="N49" s="141">
        <f t="shared" si="1"/>
        <v>86866.42</v>
      </c>
    </row>
    <row r="50" spans="1:14" ht="12.75">
      <c r="A50" s="140">
        <v>4363583</v>
      </c>
      <c r="B50" s="46" t="s">
        <v>20</v>
      </c>
      <c r="C50" s="46" t="s">
        <v>38</v>
      </c>
      <c r="D50" s="47">
        <v>49982.94</v>
      </c>
      <c r="E50" s="55">
        <f>'2005'!N48</f>
        <v>42125.79</v>
      </c>
      <c r="F50" s="48">
        <v>5.75</v>
      </c>
      <c r="G50" s="49">
        <v>2001</v>
      </c>
      <c r="H50" s="49">
        <v>2020</v>
      </c>
      <c r="I50" s="50">
        <v>4229.3</v>
      </c>
      <c r="J50" s="15">
        <v>1833.04</v>
      </c>
      <c r="K50" s="34">
        <v>3030</v>
      </c>
      <c r="L50" s="15">
        <f t="shared" si="0"/>
        <v>2396.26</v>
      </c>
      <c r="M50" s="35">
        <v>910</v>
      </c>
      <c r="N50" s="141">
        <f t="shared" si="1"/>
        <v>40292.75</v>
      </c>
    </row>
    <row r="51" spans="1:14" ht="13.5" thickBot="1">
      <c r="A51" s="143">
        <v>4317938</v>
      </c>
      <c r="B51" s="82" t="s">
        <v>20</v>
      </c>
      <c r="C51" s="82" t="s">
        <v>38</v>
      </c>
      <c r="D51" s="83">
        <v>50396.44</v>
      </c>
      <c r="E51" s="84">
        <f>'2005'!N49</f>
        <v>37632.25000000001</v>
      </c>
      <c r="F51" s="85">
        <v>6.5</v>
      </c>
      <c r="G51" s="86">
        <v>1998</v>
      </c>
      <c r="H51" s="86">
        <v>2017</v>
      </c>
      <c r="I51" s="89">
        <v>4564.72</v>
      </c>
      <c r="J51" s="90">
        <v>2153.05</v>
      </c>
      <c r="K51" s="34" t="s">
        <v>42</v>
      </c>
      <c r="L51" s="90">
        <f t="shared" si="0"/>
        <v>2411.67</v>
      </c>
      <c r="M51" s="35" t="s">
        <v>42</v>
      </c>
      <c r="N51" s="144">
        <f t="shared" si="1"/>
        <v>35479.200000000004</v>
      </c>
    </row>
    <row r="52" spans="1:14" ht="13.5" thickBot="1">
      <c r="A52" s="152"/>
      <c r="B52" s="98"/>
      <c r="C52" s="98"/>
      <c r="D52" s="99"/>
      <c r="E52" s="100" t="s">
        <v>42</v>
      </c>
      <c r="F52" s="101"/>
      <c r="G52" s="102"/>
      <c r="H52" s="103" t="s">
        <v>43</v>
      </c>
      <c r="I52" s="104">
        <f>SUM(I48:I51)</f>
        <v>25018.16</v>
      </c>
      <c r="J52" s="100">
        <f>SUM(J48:J51)</f>
        <v>10959.559999999998</v>
      </c>
      <c r="K52" s="107"/>
      <c r="L52" s="100">
        <f t="shared" si="0"/>
        <v>14058.600000000002</v>
      </c>
      <c r="M52" s="107"/>
      <c r="N52" s="169">
        <f>SUM(N48:N51)</f>
        <v>251120.41</v>
      </c>
    </row>
    <row r="53" spans="1:14" ht="12.75">
      <c r="A53" s="147">
        <v>4284047</v>
      </c>
      <c r="B53" s="91" t="s">
        <v>20</v>
      </c>
      <c r="C53" s="91" t="s">
        <v>39</v>
      </c>
      <c r="D53" s="92">
        <v>77468.53</v>
      </c>
      <c r="E53" s="56">
        <f>'2005'!N52</f>
        <v>55433.65</v>
      </c>
      <c r="F53" s="93">
        <v>6.5</v>
      </c>
      <c r="G53" s="94">
        <v>1997</v>
      </c>
      <c r="H53" s="94">
        <v>2016</v>
      </c>
      <c r="I53" s="95">
        <v>7132.02</v>
      </c>
      <c r="J53" s="109">
        <v>3586.18</v>
      </c>
      <c r="K53" s="34"/>
      <c r="L53" s="109">
        <f t="shared" si="0"/>
        <v>3545.8400000000006</v>
      </c>
      <c r="M53" s="35"/>
      <c r="N53" s="148">
        <f t="shared" si="1"/>
        <v>51847.47</v>
      </c>
    </row>
    <row r="54" spans="1:14" ht="12.75">
      <c r="A54" s="140">
        <v>649423</v>
      </c>
      <c r="B54" s="46" t="s">
        <v>20</v>
      </c>
      <c r="C54" s="46" t="s">
        <v>39</v>
      </c>
      <c r="D54" s="47">
        <v>897.55</v>
      </c>
      <c r="E54" s="55">
        <f>'2005'!N53</f>
        <v>161.98999999999998</v>
      </c>
      <c r="F54" s="48">
        <v>5</v>
      </c>
      <c r="G54" s="49">
        <v>1973</v>
      </c>
      <c r="H54" s="49">
        <v>2008</v>
      </c>
      <c r="I54" s="50">
        <v>58.74</v>
      </c>
      <c r="J54" s="15">
        <v>51.38</v>
      </c>
      <c r="K54" s="34">
        <v>3030</v>
      </c>
      <c r="L54" s="15">
        <f t="shared" si="0"/>
        <v>7.359999999999999</v>
      </c>
      <c r="M54" s="35">
        <v>930</v>
      </c>
      <c r="N54" s="141">
        <f t="shared" si="1"/>
        <v>110.60999999999999</v>
      </c>
    </row>
    <row r="55" spans="1:14" ht="13.5" thickBot="1">
      <c r="A55" s="143">
        <v>621411</v>
      </c>
      <c r="B55" s="82" t="s">
        <v>20</v>
      </c>
      <c r="C55" s="82" t="s">
        <v>39</v>
      </c>
      <c r="D55" s="83">
        <v>1975.1</v>
      </c>
      <c r="E55" s="84">
        <f>'2005'!N54</f>
        <v>114.26</v>
      </c>
      <c r="F55" s="85">
        <v>5</v>
      </c>
      <c r="G55" s="86">
        <v>1972</v>
      </c>
      <c r="H55" s="158">
        <v>2006</v>
      </c>
      <c r="I55" s="89">
        <v>118.48</v>
      </c>
      <c r="J55" s="90">
        <v>114.26</v>
      </c>
      <c r="K55" s="34"/>
      <c r="L55" s="90">
        <f t="shared" si="0"/>
        <v>4.219999999999999</v>
      </c>
      <c r="M55" s="35"/>
      <c r="N55" s="144">
        <f t="shared" si="1"/>
        <v>0</v>
      </c>
    </row>
    <row r="56" spans="1:14" ht="13.5" thickBot="1">
      <c r="A56" s="145"/>
      <c r="B56" s="98"/>
      <c r="C56" s="98"/>
      <c r="D56" s="99"/>
      <c r="E56" s="100" t="s">
        <v>42</v>
      </c>
      <c r="F56" s="101"/>
      <c r="G56" s="102"/>
      <c r="H56" s="103" t="s">
        <v>43</v>
      </c>
      <c r="I56" s="104">
        <f>SUM(I53:I55)</f>
        <v>7309.24</v>
      </c>
      <c r="J56" s="100">
        <f>SUM(J53:J55)</f>
        <v>3751.82</v>
      </c>
      <c r="K56" s="107"/>
      <c r="L56" s="106">
        <f t="shared" si="0"/>
        <v>3557.4199999999996</v>
      </c>
      <c r="M56" s="107"/>
      <c r="N56" s="169">
        <f>SUM(N53:N55)</f>
        <v>51958.08</v>
      </c>
    </row>
    <row r="57" spans="1:14" ht="13.5" thickBot="1">
      <c r="A57" s="153">
        <v>38497</v>
      </c>
      <c r="B57" s="120" t="s">
        <v>40</v>
      </c>
      <c r="C57" s="120" t="s">
        <v>61</v>
      </c>
      <c r="D57" s="121">
        <v>130481.69</v>
      </c>
      <c r="E57" s="113">
        <f>'2005'!N56</f>
        <v>91379.07</v>
      </c>
      <c r="F57" s="122">
        <v>6</v>
      </c>
      <c r="G57" s="123">
        <v>2002</v>
      </c>
      <c r="H57" s="123">
        <v>2014</v>
      </c>
      <c r="I57" s="124">
        <v>13239.06</v>
      </c>
      <c r="J57" s="118">
        <v>7952.01</v>
      </c>
      <c r="K57" s="65">
        <v>3040</v>
      </c>
      <c r="L57" s="118">
        <f t="shared" si="0"/>
        <v>5287.049999999999</v>
      </c>
      <c r="M57" s="66">
        <v>950</v>
      </c>
      <c r="N57" s="150">
        <f t="shared" si="1"/>
        <v>83427.06000000001</v>
      </c>
    </row>
    <row r="58" spans="1:14" ht="13.5" thickBot="1">
      <c r="A58" s="145"/>
      <c r="B58" s="98"/>
      <c r="C58" s="98"/>
      <c r="D58" s="99"/>
      <c r="E58" s="100" t="s">
        <v>42</v>
      </c>
      <c r="F58" s="101"/>
      <c r="G58" s="102"/>
      <c r="H58" s="161" t="s">
        <v>43</v>
      </c>
      <c r="I58" s="159">
        <f>SUM(I57)</f>
        <v>13239.06</v>
      </c>
      <c r="J58" s="160">
        <f>SUM(J57)</f>
        <v>7952.01</v>
      </c>
      <c r="K58" s="107"/>
      <c r="L58" s="106">
        <f t="shared" si="0"/>
        <v>5287.049999999999</v>
      </c>
      <c r="M58" s="107"/>
      <c r="N58" s="169">
        <f>SUM(N57)</f>
        <v>83427.06000000001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09">
        <f t="shared" si="0"/>
        <v>0</v>
      </c>
      <c r="M59" s="66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73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0"/>
        <v>0</v>
      </c>
      <c r="M68" s="27"/>
      <c r="N68" s="173">
        <f t="shared" si="1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0"/>
        <v>0</v>
      </c>
      <c r="M69" s="27"/>
      <c r="N69" s="173">
        <f t="shared" si="1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aca="true" t="shared" si="2" ref="L70:L87">I70-J70</f>
        <v>0</v>
      </c>
      <c r="M70" s="27"/>
      <c r="N70" s="173">
        <f aca="true" t="shared" si="3" ref="N70:N87">E70-J70</f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73">
        <f t="shared" si="3"/>
        <v>0</v>
      </c>
    </row>
    <row r="82" spans="1:14" ht="13.5" hidden="1" thickBot="1">
      <c r="A82" s="154"/>
      <c r="B82" s="12"/>
      <c r="C82" s="12"/>
      <c r="D82" s="3"/>
      <c r="E82" s="4"/>
      <c r="F82" s="13"/>
      <c r="G82" s="25"/>
      <c r="H82" s="25"/>
      <c r="I82" s="5"/>
      <c r="J82" s="4"/>
      <c r="K82" s="14"/>
      <c r="L82" s="15">
        <f t="shared" si="2"/>
        <v>0</v>
      </c>
      <c r="M82" s="27"/>
      <c r="N82" s="173">
        <f t="shared" si="3"/>
        <v>0</v>
      </c>
    </row>
    <row r="83" spans="1:14" ht="13.5" hidden="1" thickBot="1">
      <c r="A83" s="154"/>
      <c r="B83" s="12"/>
      <c r="C83" s="12"/>
      <c r="D83" s="3"/>
      <c r="E83" s="4"/>
      <c r="F83" s="13"/>
      <c r="G83" s="25"/>
      <c r="H83" s="25"/>
      <c r="I83" s="5"/>
      <c r="J83" s="4"/>
      <c r="K83" s="14"/>
      <c r="L83" s="15">
        <f t="shared" si="2"/>
        <v>0</v>
      </c>
      <c r="M83" s="27"/>
      <c r="N83" s="173">
        <f t="shared" si="3"/>
        <v>0</v>
      </c>
    </row>
    <row r="84" spans="1:14" ht="13.5" hidden="1" thickBot="1">
      <c r="A84" s="154"/>
      <c r="B84" s="12"/>
      <c r="C84" s="12"/>
      <c r="D84" s="3"/>
      <c r="E84" s="4"/>
      <c r="F84" s="13"/>
      <c r="G84" s="25"/>
      <c r="H84" s="25"/>
      <c r="I84" s="5"/>
      <c r="J84" s="4"/>
      <c r="K84" s="14"/>
      <c r="L84" s="15">
        <f t="shared" si="2"/>
        <v>0</v>
      </c>
      <c r="M84" s="27"/>
      <c r="N84" s="173">
        <f t="shared" si="3"/>
        <v>0</v>
      </c>
    </row>
    <row r="85" spans="1:14" ht="13.5" hidden="1" thickBot="1">
      <c r="A85" s="154"/>
      <c r="B85" s="12"/>
      <c r="C85" s="12"/>
      <c r="D85" s="3"/>
      <c r="E85" s="4"/>
      <c r="F85" s="13"/>
      <c r="G85" s="25"/>
      <c r="H85" s="25"/>
      <c r="I85" s="5"/>
      <c r="J85" s="4"/>
      <c r="K85" s="14"/>
      <c r="L85" s="15">
        <f t="shared" si="2"/>
        <v>0</v>
      </c>
      <c r="M85" s="27"/>
      <c r="N85" s="173">
        <f t="shared" si="3"/>
        <v>0</v>
      </c>
    </row>
    <row r="86" spans="1:14" ht="13.5" hidden="1" thickBot="1">
      <c r="A86" s="154"/>
      <c r="B86" s="12"/>
      <c r="C86" s="12"/>
      <c r="D86" s="3"/>
      <c r="E86" s="4"/>
      <c r="F86" s="13"/>
      <c r="G86" s="25"/>
      <c r="H86" s="25"/>
      <c r="I86" s="5"/>
      <c r="J86" s="4"/>
      <c r="K86" s="14"/>
      <c r="L86" s="15">
        <f t="shared" si="2"/>
        <v>0</v>
      </c>
      <c r="M86" s="27"/>
      <c r="N86" s="173">
        <f t="shared" si="3"/>
        <v>0</v>
      </c>
    </row>
    <row r="87" spans="1:14" ht="13.5" hidden="1" thickBot="1">
      <c r="A87" s="155"/>
      <c r="B87" s="111"/>
      <c r="C87" s="111"/>
      <c r="D87" s="112"/>
      <c r="E87" s="126"/>
      <c r="F87" s="114"/>
      <c r="G87" s="115"/>
      <c r="H87" s="115"/>
      <c r="I87" s="116"/>
      <c r="J87" s="126"/>
      <c r="K87" s="127"/>
      <c r="L87" s="90">
        <f t="shared" si="2"/>
        <v>0</v>
      </c>
      <c r="M87" s="27"/>
      <c r="N87" s="170">
        <f t="shared" si="3"/>
        <v>0</v>
      </c>
    </row>
    <row r="88" spans="1:14" ht="14.25" thickBot="1" thickTop="1">
      <c r="A88" s="128"/>
      <c r="B88" s="129"/>
      <c r="C88" s="130" t="s">
        <v>8</v>
      </c>
      <c r="D88" s="131">
        <f>SUM(D3:D87)</f>
        <v>3137147.7999999993</v>
      </c>
      <c r="E88" s="132">
        <f>SUM(E3:E87)</f>
        <v>2512985.52</v>
      </c>
      <c r="F88" s="133"/>
      <c r="G88" s="133"/>
      <c r="H88" s="133"/>
      <c r="I88" s="134">
        <f>+I13+I18+I20+I34+I47+I52+I56+I58</f>
        <v>261911.9</v>
      </c>
      <c r="J88" s="134">
        <f>+J13+J18+J20+J34+J47+J52+J56+J58</f>
        <v>132551.58000000002</v>
      </c>
      <c r="K88" s="133"/>
      <c r="L88" s="134">
        <f>+L13+L18+L20+L34+L47+L52+L56+L58</f>
        <v>129360.32</v>
      </c>
      <c r="M88" s="135"/>
      <c r="N88" s="136">
        <f>+N13+N18+N20+N34+N47+N52+N56+N58</f>
        <v>2380433.94</v>
      </c>
    </row>
    <row r="89" ht="13.5" thickTop="1"/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showGridLines="0" zoomScalePageLayoutView="0" workbookViewId="0" topLeftCell="A40">
      <selection activeCell="C104" sqref="C104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17.14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54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51</v>
      </c>
      <c r="F2" s="138" t="s">
        <v>3</v>
      </c>
      <c r="G2" s="138" t="s">
        <v>4</v>
      </c>
      <c r="H2" s="138" t="s">
        <v>5</v>
      </c>
      <c r="I2" s="138" t="s">
        <v>52</v>
      </c>
      <c r="J2" s="138" t="s">
        <v>50</v>
      </c>
      <c r="K2" s="138" t="s">
        <v>6</v>
      </c>
      <c r="L2" s="164" t="s">
        <v>53</v>
      </c>
      <c r="M2" s="138" t="s">
        <v>6</v>
      </c>
      <c r="N2" s="139" t="s">
        <v>69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f>'2006'!N3</f>
        <v>373233.36000000004</v>
      </c>
      <c r="F3" s="48">
        <v>4.8</v>
      </c>
      <c r="G3" s="49">
        <v>2004</v>
      </c>
      <c r="H3" s="49">
        <v>2023</v>
      </c>
      <c r="I3" s="50">
        <v>32365.92</v>
      </c>
      <c r="J3" s="15">
        <v>14624.13</v>
      </c>
      <c r="K3" s="34" t="s">
        <v>42</v>
      </c>
      <c r="L3" s="15">
        <f>I3-J3</f>
        <v>17741.79</v>
      </c>
      <c r="M3" s="35" t="s">
        <v>42</v>
      </c>
      <c r="N3" s="141">
        <f>E3-J3</f>
        <v>358609.23000000004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f>'2006'!N4</f>
        <v>129746.15</v>
      </c>
      <c r="F4" s="48">
        <v>5.25</v>
      </c>
      <c r="G4" s="49">
        <v>2002.2021</v>
      </c>
      <c r="H4" s="49">
        <v>2021</v>
      </c>
      <c r="I4" s="50">
        <v>12605.48</v>
      </c>
      <c r="J4" s="15">
        <v>5869.86</v>
      </c>
      <c r="K4" s="34"/>
      <c r="L4" s="15">
        <f aca="true" t="shared" si="0" ref="L4:L72">I4-J4</f>
        <v>6735.62</v>
      </c>
      <c r="M4" s="35"/>
      <c r="N4" s="141">
        <f aca="true" t="shared" si="1" ref="N4:N72">E4-J4</f>
        <v>123876.29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f>'2006'!N5</f>
        <v>83433.99</v>
      </c>
      <c r="F5" s="48">
        <v>5.75</v>
      </c>
      <c r="G5" s="49">
        <v>2001</v>
      </c>
      <c r="H5" s="49">
        <v>2020</v>
      </c>
      <c r="I5" s="50">
        <v>8757.58</v>
      </c>
      <c r="J5" s="15">
        <v>4017.05</v>
      </c>
      <c r="K5" s="34"/>
      <c r="L5" s="15">
        <f t="shared" si="0"/>
        <v>4740.53</v>
      </c>
      <c r="M5" s="35"/>
      <c r="N5" s="141">
        <f t="shared" si="1"/>
        <v>79416.94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f>'2006'!N6</f>
        <v>62575.49</v>
      </c>
      <c r="F6" s="48">
        <v>5.75</v>
      </c>
      <c r="G6" s="49">
        <v>2001</v>
      </c>
      <c r="H6" s="49">
        <v>2020</v>
      </c>
      <c r="I6" s="50">
        <v>6568.17</v>
      </c>
      <c r="J6" s="15">
        <v>3012.78</v>
      </c>
      <c r="K6" s="34"/>
      <c r="L6" s="15">
        <f t="shared" si="0"/>
        <v>3555.39</v>
      </c>
      <c r="M6" s="35"/>
      <c r="N6" s="141">
        <f t="shared" si="1"/>
        <v>59562.71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f>'2006'!N7</f>
        <v>116399.89000000001</v>
      </c>
      <c r="F7" s="48">
        <v>0</v>
      </c>
      <c r="G7" s="49">
        <v>2000</v>
      </c>
      <c r="H7" s="49">
        <v>2019</v>
      </c>
      <c r="I7" s="50">
        <v>12653.88</v>
      </c>
      <c r="J7" s="15">
        <f>4476.92+4476.92</f>
        <v>8953.84</v>
      </c>
      <c r="K7" s="34">
        <v>3030</v>
      </c>
      <c r="L7" s="15">
        <f t="shared" si="0"/>
        <v>3700.039999999999</v>
      </c>
      <c r="M7" s="35">
        <v>283</v>
      </c>
      <c r="N7" s="141">
        <f t="shared" si="1"/>
        <v>107446.05000000002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f>'2006'!N8</f>
        <v>4375.7</v>
      </c>
      <c r="F8" s="48">
        <v>6.5</v>
      </c>
      <c r="G8" s="49">
        <v>1998</v>
      </c>
      <c r="H8" s="49">
        <v>2017</v>
      </c>
      <c r="I8" s="50">
        <v>562.98</v>
      </c>
      <c r="J8" s="15">
        <v>283.08</v>
      </c>
      <c r="K8" s="34"/>
      <c r="L8" s="15">
        <f t="shared" si="0"/>
        <v>279.90000000000003</v>
      </c>
      <c r="M8" s="35"/>
      <c r="N8" s="141">
        <f t="shared" si="1"/>
        <v>4092.62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f>'2006'!N9</f>
        <v>105017.29</v>
      </c>
      <c r="F9" s="48">
        <v>6.5</v>
      </c>
      <c r="G9" s="49">
        <v>1998</v>
      </c>
      <c r="H9" s="49">
        <v>2017</v>
      </c>
      <c r="I9" s="50">
        <v>13511.4</v>
      </c>
      <c r="J9" s="15">
        <v>6793.91</v>
      </c>
      <c r="K9" s="34"/>
      <c r="L9" s="15">
        <f t="shared" si="0"/>
        <v>6717.49</v>
      </c>
      <c r="M9" s="35"/>
      <c r="N9" s="141">
        <f t="shared" si="1"/>
        <v>98223.37999999999</v>
      </c>
    </row>
    <row r="10" spans="1:14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f>'2006'!N10</f>
        <v>1970.2599999999995</v>
      </c>
      <c r="F10" s="48">
        <v>6.5</v>
      </c>
      <c r="G10" s="49">
        <v>1978</v>
      </c>
      <c r="H10" s="49">
        <v>2012</v>
      </c>
      <c r="I10" s="50">
        <v>401.8</v>
      </c>
      <c r="J10" s="15">
        <v>278.19</v>
      </c>
      <c r="K10" s="34"/>
      <c r="L10" s="15">
        <f t="shared" si="0"/>
        <v>123.61000000000001</v>
      </c>
      <c r="M10" s="35"/>
      <c r="N10" s="141">
        <f t="shared" si="1"/>
        <v>1692.0699999999995</v>
      </c>
    </row>
    <row r="11" spans="1:14" ht="12.75">
      <c r="A11" s="143">
        <v>647568</v>
      </c>
      <c r="B11" s="46" t="s">
        <v>7</v>
      </c>
      <c r="C11" s="46" t="s">
        <v>15</v>
      </c>
      <c r="D11" s="83">
        <v>17636.83</v>
      </c>
      <c r="E11" s="55">
        <f>'2006'!N11</f>
        <v>6117.6900000000005</v>
      </c>
      <c r="F11" s="85">
        <v>6.5</v>
      </c>
      <c r="G11" s="86">
        <v>1976</v>
      </c>
      <c r="H11" s="86">
        <v>2011</v>
      </c>
      <c r="I11" s="89">
        <v>1452.72</v>
      </c>
      <c r="J11" s="90">
        <v>1072.21</v>
      </c>
      <c r="K11" s="34"/>
      <c r="L11" s="90">
        <f t="shared" si="0"/>
        <v>380.51</v>
      </c>
      <c r="M11" s="35"/>
      <c r="N11" s="141">
        <f t="shared" si="1"/>
        <v>5045.4800000000005</v>
      </c>
    </row>
    <row r="12" spans="1:14" ht="12.75">
      <c r="A12" s="222" t="s">
        <v>77</v>
      </c>
      <c r="B12" s="46" t="s">
        <v>7</v>
      </c>
      <c r="C12" s="46" t="s">
        <v>71</v>
      </c>
      <c r="D12" s="83">
        <v>80000</v>
      </c>
      <c r="E12" s="84">
        <v>77250.13</v>
      </c>
      <c r="F12" s="85">
        <v>3.72</v>
      </c>
      <c r="G12" s="86">
        <v>2006</v>
      </c>
      <c r="H12" s="86">
        <v>2025</v>
      </c>
      <c r="I12" s="89">
        <v>5716.4</v>
      </c>
      <c r="J12" s="90">
        <v>2853.67</v>
      </c>
      <c r="K12" s="34"/>
      <c r="L12" s="90">
        <f>I12-J12</f>
        <v>2862.7299999999996</v>
      </c>
      <c r="M12" s="35"/>
      <c r="N12" s="150">
        <v>74385.22</v>
      </c>
    </row>
    <row r="13" spans="1:14" s="205" customFormat="1" ht="13.5" thickBot="1">
      <c r="A13" s="172"/>
      <c r="B13" s="196" t="s">
        <v>42</v>
      </c>
      <c r="C13" s="196" t="s">
        <v>42</v>
      </c>
      <c r="D13" s="197" t="s">
        <v>42</v>
      </c>
      <c r="E13" s="206" t="s">
        <v>42</v>
      </c>
      <c r="F13" s="199" t="s">
        <v>42</v>
      </c>
      <c r="G13" s="182" t="s">
        <v>42</v>
      </c>
      <c r="H13" s="182" t="s">
        <v>42</v>
      </c>
      <c r="I13" s="200" t="s">
        <v>42</v>
      </c>
      <c r="J13" s="201" t="s">
        <v>42</v>
      </c>
      <c r="K13" s="202" t="s">
        <v>42</v>
      </c>
      <c r="L13" s="201" t="s">
        <v>42</v>
      </c>
      <c r="M13" s="203"/>
      <c r="N13" s="207">
        <v>0</v>
      </c>
    </row>
    <row r="14" spans="1:14" ht="13.5" thickBot="1">
      <c r="A14" s="145"/>
      <c r="B14" s="98"/>
      <c r="C14" s="98"/>
      <c r="D14" s="99"/>
      <c r="E14" s="100" t="s">
        <v>42</v>
      </c>
      <c r="F14" s="101"/>
      <c r="G14" s="102"/>
      <c r="H14" s="103" t="s">
        <v>43</v>
      </c>
      <c r="I14" s="104">
        <f>SUM(I3:I13)</f>
        <v>94596.32999999999</v>
      </c>
      <c r="J14" s="100">
        <f>SUM(J3:J13)</f>
        <v>47758.719999999994</v>
      </c>
      <c r="K14" s="223"/>
      <c r="L14" s="106">
        <f t="shared" si="0"/>
        <v>46837.60999999999</v>
      </c>
      <c r="M14" s="224"/>
      <c r="N14" s="146">
        <f>SUM(N3:N13)</f>
        <v>912349.9899999999</v>
      </c>
    </row>
    <row r="15" spans="1:14" ht="12.75">
      <c r="A15" s="147">
        <v>4367661</v>
      </c>
      <c r="B15" s="91" t="s">
        <v>20</v>
      </c>
      <c r="C15" s="91" t="s">
        <v>21</v>
      </c>
      <c r="D15" s="92">
        <v>51645.69</v>
      </c>
      <c r="E15" s="56">
        <f>'2006'!N14</f>
        <v>41716.97999999999</v>
      </c>
      <c r="F15" s="93">
        <v>5.75</v>
      </c>
      <c r="G15" s="94">
        <v>2001</v>
      </c>
      <c r="H15" s="94">
        <v>2020</v>
      </c>
      <c r="I15" s="95">
        <v>4378.78</v>
      </c>
      <c r="J15" s="96">
        <v>2008.52</v>
      </c>
      <c r="K15" s="65"/>
      <c r="L15" s="97">
        <f t="shared" si="0"/>
        <v>2370.2599999999998</v>
      </c>
      <c r="M15" s="66"/>
      <c r="N15" s="168">
        <f t="shared" si="1"/>
        <v>39708.45999999999</v>
      </c>
    </row>
    <row r="16" spans="1:14" ht="12.75">
      <c r="A16" s="140">
        <v>4363580</v>
      </c>
      <c r="B16" s="46" t="s">
        <v>20</v>
      </c>
      <c r="C16" s="46" t="s">
        <v>22</v>
      </c>
      <c r="D16" s="47">
        <v>77468.53</v>
      </c>
      <c r="E16" s="55">
        <f>'2006'!N15</f>
        <v>62575.49</v>
      </c>
      <c r="F16" s="48">
        <v>5.75</v>
      </c>
      <c r="G16" s="49">
        <v>2001</v>
      </c>
      <c r="H16" s="49">
        <v>2020</v>
      </c>
      <c r="I16" s="50">
        <v>6568.17</v>
      </c>
      <c r="J16" s="43">
        <v>3012.78</v>
      </c>
      <c r="K16" s="65"/>
      <c r="L16" s="42">
        <f t="shared" si="0"/>
        <v>3555.39</v>
      </c>
      <c r="M16" s="66"/>
      <c r="N16" s="141">
        <f t="shared" si="1"/>
        <v>59562.71</v>
      </c>
    </row>
    <row r="17" spans="1:14" ht="12.75">
      <c r="A17" s="142" t="s">
        <v>23</v>
      </c>
      <c r="B17" s="46" t="s">
        <v>20</v>
      </c>
      <c r="C17" s="46" t="s">
        <v>24</v>
      </c>
      <c r="D17" s="47">
        <v>55628.72</v>
      </c>
      <c r="E17" s="55">
        <f>'2006'!N16</f>
        <v>38982.03999999999</v>
      </c>
      <c r="F17" s="48">
        <v>4.85</v>
      </c>
      <c r="G17" s="49">
        <v>1999</v>
      </c>
      <c r="H17" s="49">
        <v>2018</v>
      </c>
      <c r="I17" s="50">
        <v>4323.16</v>
      </c>
      <c r="J17" s="43">
        <v>2462.02</v>
      </c>
      <c r="K17" s="65">
        <v>3030</v>
      </c>
      <c r="L17" s="42">
        <f t="shared" si="0"/>
        <v>1861.1399999999999</v>
      </c>
      <c r="M17" s="66">
        <v>518</v>
      </c>
      <c r="N17" s="141">
        <f t="shared" si="1"/>
        <v>36520.02</v>
      </c>
    </row>
    <row r="18" spans="1:14" ht="12.75">
      <c r="A18" s="143">
        <v>4271244</v>
      </c>
      <c r="B18" s="82" t="s">
        <v>20</v>
      </c>
      <c r="C18" s="82" t="s">
        <v>25</v>
      </c>
      <c r="D18" s="83">
        <v>69205.22</v>
      </c>
      <c r="E18" s="84">
        <f>'2006'!N17</f>
        <v>43216.170000000006</v>
      </c>
      <c r="F18" s="85">
        <v>6.5</v>
      </c>
      <c r="G18" s="86">
        <v>1996</v>
      </c>
      <c r="H18" s="86">
        <v>2015</v>
      </c>
      <c r="I18" s="89">
        <v>6417.96</v>
      </c>
      <c r="J18" s="157">
        <v>3667.56</v>
      </c>
      <c r="K18" s="65"/>
      <c r="L18" s="108">
        <f>I18-J18</f>
        <v>2750.4</v>
      </c>
      <c r="M18" s="66"/>
      <c r="N18" s="168">
        <f>E18-J18</f>
        <v>39548.61000000001</v>
      </c>
    </row>
    <row r="19" spans="1:14" s="205" customFormat="1" ht="13.5" thickBot="1">
      <c r="A19" s="221"/>
      <c r="B19" s="218"/>
      <c r="C19" s="218"/>
      <c r="D19" s="197"/>
      <c r="E19" s="206"/>
      <c r="F19" s="199"/>
      <c r="G19" s="119"/>
      <c r="H19" s="182"/>
      <c r="I19" s="200"/>
      <c r="J19" s="226"/>
      <c r="K19" s="227"/>
      <c r="L19" s="228"/>
      <c r="M19" s="229"/>
      <c r="N19" s="230"/>
    </row>
    <row r="20" spans="1:14" ht="13.5" thickBot="1">
      <c r="A20" s="145"/>
      <c r="B20" s="98"/>
      <c r="C20" s="98"/>
      <c r="D20" s="99"/>
      <c r="E20" s="110" t="s">
        <v>42</v>
      </c>
      <c r="F20" s="101"/>
      <c r="G20" s="102"/>
      <c r="H20" s="103" t="s">
        <v>43</v>
      </c>
      <c r="I20" s="104">
        <f>SUM(I15:I19)</f>
        <v>21688.07</v>
      </c>
      <c r="J20" s="100">
        <f>SUM(J15:J19)</f>
        <v>11150.88</v>
      </c>
      <c r="K20" s="223"/>
      <c r="L20" s="106">
        <f t="shared" si="0"/>
        <v>10537.19</v>
      </c>
      <c r="M20" s="224"/>
      <c r="N20" s="169">
        <f>SUM(N15:N18)</f>
        <v>175339.8</v>
      </c>
    </row>
    <row r="21" spans="1:14" ht="13.5" thickBot="1">
      <c r="A21" s="149">
        <v>22851</v>
      </c>
      <c r="B21" s="111" t="s">
        <v>26</v>
      </c>
      <c r="C21" s="111" t="s">
        <v>27</v>
      </c>
      <c r="D21" s="112">
        <v>77468.53</v>
      </c>
      <c r="E21" s="113">
        <f>'2006'!N19</f>
        <v>57699.6</v>
      </c>
      <c r="F21" s="114">
        <v>5</v>
      </c>
      <c r="G21" s="115">
        <v>2002</v>
      </c>
      <c r="H21" s="115">
        <v>2016</v>
      </c>
      <c r="I21" s="116">
        <v>7402.53</v>
      </c>
      <c r="J21" s="117">
        <v>4574.02</v>
      </c>
      <c r="K21" s="34">
        <v>3040</v>
      </c>
      <c r="L21" s="118">
        <f t="shared" si="0"/>
        <v>2828.5099999999993</v>
      </c>
      <c r="M21" s="66">
        <v>645</v>
      </c>
      <c r="N21" s="170">
        <f t="shared" si="1"/>
        <v>53125.58</v>
      </c>
    </row>
    <row r="22" spans="1:14" ht="13.5" thickBot="1">
      <c r="A22" s="145"/>
      <c r="B22" s="98"/>
      <c r="C22" s="98"/>
      <c r="D22" s="99"/>
      <c r="E22" s="100" t="s">
        <v>42</v>
      </c>
      <c r="F22" s="101"/>
      <c r="G22" s="103"/>
      <c r="H22" s="103" t="s">
        <v>43</v>
      </c>
      <c r="I22" s="104">
        <f>SUM(I21)</f>
        <v>7402.53</v>
      </c>
      <c r="J22" s="100">
        <f>SUM(J21)</f>
        <v>4574.02</v>
      </c>
      <c r="K22" s="224"/>
      <c r="L22" s="106">
        <f t="shared" si="0"/>
        <v>2828.5099999999993</v>
      </c>
      <c r="M22" s="224"/>
      <c r="N22" s="169">
        <f>SUM(N21)</f>
        <v>53125.58</v>
      </c>
    </row>
    <row r="23" spans="1:14" ht="12.75">
      <c r="A23" s="151" t="s">
        <v>28</v>
      </c>
      <c r="B23" s="91" t="s">
        <v>20</v>
      </c>
      <c r="C23" s="91" t="s">
        <v>29</v>
      </c>
      <c r="D23" s="92">
        <v>17559.53</v>
      </c>
      <c r="E23" s="56">
        <f>'2006'!N21</f>
        <v>14183.769999999999</v>
      </c>
      <c r="F23" s="93">
        <v>5.75</v>
      </c>
      <c r="G23" s="94">
        <v>2001</v>
      </c>
      <c r="H23" s="94">
        <v>2020</v>
      </c>
      <c r="I23" s="95">
        <v>1488.78</v>
      </c>
      <c r="J23" s="109">
        <v>682.9</v>
      </c>
      <c r="K23" s="34"/>
      <c r="L23" s="109">
        <f t="shared" si="0"/>
        <v>805.88</v>
      </c>
      <c r="M23" s="35"/>
      <c r="N23" s="150">
        <f t="shared" si="1"/>
        <v>13500.869999999999</v>
      </c>
    </row>
    <row r="24" spans="1:14" ht="12.75">
      <c r="A24" s="140">
        <v>4364549</v>
      </c>
      <c r="B24" s="46" t="s">
        <v>20</v>
      </c>
      <c r="C24" s="46" t="s">
        <v>29</v>
      </c>
      <c r="D24" s="47">
        <v>137377.54</v>
      </c>
      <c r="E24" s="55">
        <f>'2006'!N22</f>
        <v>110967.21</v>
      </c>
      <c r="F24" s="48">
        <v>5.75</v>
      </c>
      <c r="G24" s="49">
        <v>2001</v>
      </c>
      <c r="H24" s="49">
        <v>2020</v>
      </c>
      <c r="I24" s="50">
        <v>11647.56</v>
      </c>
      <c r="J24" s="15">
        <v>5342.67</v>
      </c>
      <c r="K24" s="34"/>
      <c r="L24" s="15">
        <f t="shared" si="0"/>
        <v>6304.889999999999</v>
      </c>
      <c r="M24" s="35"/>
      <c r="N24" s="141">
        <f t="shared" si="1"/>
        <v>105624.54000000001</v>
      </c>
    </row>
    <row r="25" spans="1:14" ht="12.75">
      <c r="A25" s="140">
        <v>4297871</v>
      </c>
      <c r="B25" s="46" t="s">
        <v>20</v>
      </c>
      <c r="C25" s="46" t="s">
        <v>29</v>
      </c>
      <c r="D25" s="47">
        <v>129114.22</v>
      </c>
      <c r="E25" s="55">
        <f>'2006'!N23</f>
        <v>86040.79000000001</v>
      </c>
      <c r="F25" s="48">
        <v>6.5</v>
      </c>
      <c r="G25" s="49">
        <v>1997</v>
      </c>
      <c r="H25" s="49">
        <v>2016</v>
      </c>
      <c r="I25" s="50">
        <v>11835.58</v>
      </c>
      <c r="J25" s="15">
        <v>6344.37</v>
      </c>
      <c r="K25" s="34"/>
      <c r="L25" s="15">
        <f t="shared" si="0"/>
        <v>5491.21</v>
      </c>
      <c r="M25" s="35"/>
      <c r="N25" s="141">
        <f t="shared" si="1"/>
        <v>79696.42000000001</v>
      </c>
    </row>
    <row r="26" spans="1:14" ht="12.75">
      <c r="A26" s="140">
        <v>4268507</v>
      </c>
      <c r="B26" s="46" t="s">
        <v>20</v>
      </c>
      <c r="C26" s="46" t="s">
        <v>29</v>
      </c>
      <c r="D26" s="47">
        <v>77468.53</v>
      </c>
      <c r="E26" s="55">
        <f>'2006'!N24</f>
        <v>48376.35</v>
      </c>
      <c r="F26" s="48">
        <v>6.5</v>
      </c>
      <c r="G26" s="49">
        <v>1996</v>
      </c>
      <c r="H26" s="49">
        <v>2015</v>
      </c>
      <c r="I26" s="50">
        <v>7184.3</v>
      </c>
      <c r="J26" s="15">
        <v>4105.47</v>
      </c>
      <c r="K26" s="34"/>
      <c r="L26" s="15">
        <f t="shared" si="0"/>
        <v>3078.83</v>
      </c>
      <c r="M26" s="35"/>
      <c r="N26" s="141">
        <f t="shared" si="1"/>
        <v>44270.88</v>
      </c>
    </row>
    <row r="27" spans="1:14" ht="12.75">
      <c r="A27" s="142" t="s">
        <v>30</v>
      </c>
      <c r="B27" s="46" t="s">
        <v>20</v>
      </c>
      <c r="C27" s="46" t="s">
        <v>29</v>
      </c>
      <c r="D27" s="47">
        <v>74741.64</v>
      </c>
      <c r="E27" s="55">
        <f>'2006'!N25</f>
        <v>40244.740000000005</v>
      </c>
      <c r="F27" s="48">
        <v>6.5</v>
      </c>
      <c r="G27" s="49">
        <v>1981</v>
      </c>
      <c r="H27" s="49">
        <v>2015</v>
      </c>
      <c r="I27" s="50">
        <v>5976.68</v>
      </c>
      <c r="J27" s="15">
        <v>3415.39</v>
      </c>
      <c r="K27" s="34">
        <v>3030</v>
      </c>
      <c r="L27" s="15">
        <f t="shared" si="0"/>
        <v>2561.2900000000004</v>
      </c>
      <c r="M27" s="35">
        <v>760</v>
      </c>
      <c r="N27" s="141">
        <f t="shared" si="1"/>
        <v>36829.350000000006</v>
      </c>
    </row>
    <row r="28" spans="1:14" ht="12.75">
      <c r="A28" s="140">
        <v>687881</v>
      </c>
      <c r="B28" s="46" t="s">
        <v>20</v>
      </c>
      <c r="C28" s="46" t="s">
        <v>29</v>
      </c>
      <c r="D28" s="47">
        <v>10329.14</v>
      </c>
      <c r="E28" s="55">
        <f>'2006'!N26</f>
        <v>3582.83</v>
      </c>
      <c r="F28" s="48">
        <v>6.5</v>
      </c>
      <c r="G28" s="49">
        <v>1977</v>
      </c>
      <c r="H28" s="49">
        <v>2011</v>
      </c>
      <c r="I28" s="50">
        <v>850.8</v>
      </c>
      <c r="J28" s="15">
        <v>627.94</v>
      </c>
      <c r="K28" s="34"/>
      <c r="L28" s="15">
        <f t="shared" si="0"/>
        <v>222.8599999999999</v>
      </c>
      <c r="M28" s="35"/>
      <c r="N28" s="141">
        <f t="shared" si="1"/>
        <v>2954.89</v>
      </c>
    </row>
    <row r="29" spans="1:14" ht="12.75">
      <c r="A29" s="142" t="s">
        <v>31</v>
      </c>
      <c r="B29" s="46" t="s">
        <v>20</v>
      </c>
      <c r="C29" s="46" t="s">
        <v>29</v>
      </c>
      <c r="D29" s="47">
        <v>5087.74</v>
      </c>
      <c r="E29" s="55">
        <f>'2006'!N27</f>
        <v>914.5000000000002</v>
      </c>
      <c r="F29" s="48">
        <v>5</v>
      </c>
      <c r="G29" s="49">
        <v>1975</v>
      </c>
      <c r="H29" s="49">
        <v>2009</v>
      </c>
      <c r="I29" s="50">
        <v>331.66</v>
      </c>
      <c r="J29" s="15">
        <v>290.08</v>
      </c>
      <c r="K29" s="34"/>
      <c r="L29" s="15">
        <f t="shared" si="0"/>
        <v>41.58000000000004</v>
      </c>
      <c r="M29" s="35"/>
      <c r="N29" s="141">
        <f t="shared" si="1"/>
        <v>624.4200000000003</v>
      </c>
    </row>
    <row r="30" spans="1:14" ht="12.75">
      <c r="A30" s="140">
        <v>3033507</v>
      </c>
      <c r="B30" s="46" t="s">
        <v>20</v>
      </c>
      <c r="C30" s="46" t="s">
        <v>29</v>
      </c>
      <c r="D30" s="47">
        <v>23240.56</v>
      </c>
      <c r="E30" s="55">
        <f>'2006'!N28</f>
        <v>10468.470000000001</v>
      </c>
      <c r="F30" s="48">
        <v>6.5</v>
      </c>
      <c r="G30" s="49">
        <v>1979</v>
      </c>
      <c r="H30" s="49">
        <v>2013</v>
      </c>
      <c r="I30" s="50">
        <v>1885.2</v>
      </c>
      <c r="J30" s="15">
        <v>1224.33</v>
      </c>
      <c r="K30" s="34"/>
      <c r="L30" s="15">
        <f t="shared" si="0"/>
        <v>660.8700000000001</v>
      </c>
      <c r="M30" s="35"/>
      <c r="N30" s="141">
        <f t="shared" si="1"/>
        <v>9244.140000000001</v>
      </c>
    </row>
    <row r="31" spans="1:14" ht="12.75">
      <c r="A31" s="143">
        <v>634153</v>
      </c>
      <c r="B31" s="46" t="s">
        <v>20</v>
      </c>
      <c r="C31" s="46" t="s">
        <v>29</v>
      </c>
      <c r="D31" s="83">
        <v>1549.37</v>
      </c>
      <c r="E31" s="55">
        <f>'2006'!N29</f>
        <v>98.18999999999998</v>
      </c>
      <c r="F31" s="85">
        <v>5</v>
      </c>
      <c r="G31" s="86">
        <v>1972</v>
      </c>
      <c r="H31" s="119">
        <v>2007</v>
      </c>
      <c r="I31" s="89">
        <v>101.82</v>
      </c>
      <c r="J31" s="90">
        <v>98.19</v>
      </c>
      <c r="K31" s="34"/>
      <c r="L31" s="90">
        <f t="shared" si="0"/>
        <v>3.6299999999999955</v>
      </c>
      <c r="M31" s="35"/>
      <c r="N31" s="141">
        <f t="shared" si="1"/>
        <v>0</v>
      </c>
    </row>
    <row r="32" spans="1:14" ht="12.75">
      <c r="A32" s="183">
        <v>4464738</v>
      </c>
      <c r="B32" s="46" t="s">
        <v>20</v>
      </c>
      <c r="C32" s="46" t="s">
        <v>29</v>
      </c>
      <c r="D32" s="83">
        <v>160000</v>
      </c>
      <c r="E32" s="55">
        <f>'2006'!N30</f>
        <v>154300.77</v>
      </c>
      <c r="F32" s="85">
        <v>3.4</v>
      </c>
      <c r="G32" s="86">
        <v>2006</v>
      </c>
      <c r="H32" s="86">
        <v>2025</v>
      </c>
      <c r="I32" s="89">
        <v>11091.2</v>
      </c>
      <c r="J32" s="90">
        <v>5894.65</v>
      </c>
      <c r="K32" s="34"/>
      <c r="L32" s="90">
        <f t="shared" si="0"/>
        <v>5196.550000000001</v>
      </c>
      <c r="M32" s="35"/>
      <c r="N32" s="141">
        <f t="shared" si="1"/>
        <v>148406.12</v>
      </c>
    </row>
    <row r="33" spans="1:14" ht="12.75">
      <c r="A33" s="183">
        <v>4478664</v>
      </c>
      <c r="B33" s="46" t="s">
        <v>20</v>
      </c>
      <c r="C33" s="46" t="s">
        <v>29</v>
      </c>
      <c r="D33" s="83">
        <v>53000</v>
      </c>
      <c r="E33" s="55">
        <f>'2006'!N31</f>
        <v>51112.13</v>
      </c>
      <c r="F33" s="85">
        <v>3.4</v>
      </c>
      <c r="G33" s="86">
        <v>2006</v>
      </c>
      <c r="H33" s="86">
        <v>2026</v>
      </c>
      <c r="I33" s="89">
        <v>3673.96</v>
      </c>
      <c r="J33" s="90">
        <v>1952.6</v>
      </c>
      <c r="K33" s="34"/>
      <c r="L33" s="90">
        <f t="shared" si="0"/>
        <v>1721.3600000000001</v>
      </c>
      <c r="M33" s="35"/>
      <c r="N33" s="141">
        <f t="shared" si="1"/>
        <v>49159.53</v>
      </c>
    </row>
    <row r="34" spans="1:14" ht="12.75">
      <c r="A34" s="222" t="s">
        <v>76</v>
      </c>
      <c r="B34" s="46" t="s">
        <v>20</v>
      </c>
      <c r="C34" s="46" t="s">
        <v>73</v>
      </c>
      <c r="D34" s="83">
        <v>100000</v>
      </c>
      <c r="E34" s="55">
        <v>96555.42</v>
      </c>
      <c r="F34" s="85">
        <v>3.72</v>
      </c>
      <c r="G34" s="86">
        <v>2006</v>
      </c>
      <c r="H34" s="86">
        <v>2025</v>
      </c>
      <c r="I34" s="89">
        <v>7132.84</v>
      </c>
      <c r="J34" s="90">
        <v>3573.91</v>
      </c>
      <c r="K34" s="34"/>
      <c r="L34" s="90">
        <f t="shared" si="0"/>
        <v>3558.9300000000003</v>
      </c>
      <c r="M34" s="35"/>
      <c r="N34" s="141">
        <f t="shared" si="1"/>
        <v>92981.51</v>
      </c>
    </row>
    <row r="35" spans="1:14" s="205" customFormat="1" ht="12.75">
      <c r="A35" s="221"/>
      <c r="B35" s="196"/>
      <c r="C35" s="196"/>
      <c r="D35" s="197"/>
      <c r="E35" s="206"/>
      <c r="F35" s="199"/>
      <c r="G35" s="119"/>
      <c r="H35" s="182"/>
      <c r="I35" s="200"/>
      <c r="J35" s="201"/>
      <c r="K35" s="202"/>
      <c r="L35" s="201"/>
      <c r="M35" s="203"/>
      <c r="N35" s="204"/>
    </row>
    <row r="36" spans="1:14" s="195" customFormat="1" ht="13.5" thickBot="1">
      <c r="A36" s="220"/>
      <c r="B36" s="185"/>
      <c r="C36" s="185"/>
      <c r="D36" s="186"/>
      <c r="E36" s="187"/>
      <c r="F36" s="188"/>
      <c r="G36" s="189"/>
      <c r="H36" s="189"/>
      <c r="I36" s="190"/>
      <c r="J36" s="191"/>
      <c r="K36" s="192"/>
      <c r="L36" s="191"/>
      <c r="M36" s="193"/>
      <c r="N36" s="194"/>
    </row>
    <row r="37" spans="1:14" ht="13.5" thickBot="1">
      <c r="A37" s="145"/>
      <c r="B37" s="98"/>
      <c r="C37" s="98"/>
      <c r="D37" s="99"/>
      <c r="E37" s="110" t="s">
        <v>42</v>
      </c>
      <c r="F37" s="101"/>
      <c r="G37" s="102"/>
      <c r="H37" s="103" t="s">
        <v>43</v>
      </c>
      <c r="I37" s="104">
        <f>SUM(I23:I36)</f>
        <v>63200.380000000005</v>
      </c>
      <c r="J37" s="100">
        <f>SUM(J23:J36)</f>
        <v>33552.5</v>
      </c>
      <c r="K37" s="224"/>
      <c r="L37" s="106">
        <f t="shared" si="0"/>
        <v>29647.880000000005</v>
      </c>
      <c r="M37" s="224"/>
      <c r="N37" s="169">
        <f>SUM(N23:N36)</f>
        <v>583292.67</v>
      </c>
    </row>
    <row r="38" spans="1:14" ht="12.75">
      <c r="A38" s="151" t="s">
        <v>32</v>
      </c>
      <c r="B38" s="91" t="s">
        <v>20</v>
      </c>
      <c r="C38" s="91" t="s">
        <v>33</v>
      </c>
      <c r="D38" s="92">
        <v>13180.75</v>
      </c>
      <c r="E38" s="76">
        <f>'2006'!N35</f>
        <v>9306.25</v>
      </c>
      <c r="F38" s="93">
        <v>6.5</v>
      </c>
      <c r="G38" s="94">
        <v>1998</v>
      </c>
      <c r="H38" s="94">
        <v>2017</v>
      </c>
      <c r="I38" s="95">
        <v>1197.32</v>
      </c>
      <c r="J38" s="109">
        <v>602.05</v>
      </c>
      <c r="K38" s="34"/>
      <c r="L38" s="109">
        <f t="shared" si="0"/>
        <v>595.27</v>
      </c>
      <c r="M38" s="35"/>
      <c r="N38" s="148">
        <f t="shared" si="1"/>
        <v>8704.2</v>
      </c>
    </row>
    <row r="39" spans="1:14" ht="12.75">
      <c r="A39" s="140">
        <v>4317937</v>
      </c>
      <c r="B39" s="46" t="s">
        <v>20</v>
      </c>
      <c r="C39" s="46" t="s">
        <v>33</v>
      </c>
      <c r="D39" s="47">
        <v>90110.63</v>
      </c>
      <c r="E39" s="77">
        <f>'2006'!N36</f>
        <v>63622.43</v>
      </c>
      <c r="F39" s="48">
        <v>6.5</v>
      </c>
      <c r="G39" s="49">
        <v>1998</v>
      </c>
      <c r="H39" s="49">
        <v>2017</v>
      </c>
      <c r="I39" s="50">
        <v>8185.58</v>
      </c>
      <c r="J39" s="15">
        <v>4115.94</v>
      </c>
      <c r="K39" s="34"/>
      <c r="L39" s="15">
        <f t="shared" si="0"/>
        <v>4069.6400000000003</v>
      </c>
      <c r="M39" s="35"/>
      <c r="N39" s="141">
        <f t="shared" si="1"/>
        <v>59506.49</v>
      </c>
    </row>
    <row r="40" spans="1:14" ht="12.75">
      <c r="A40" s="142" t="s">
        <v>34</v>
      </c>
      <c r="B40" s="46" t="s">
        <v>20</v>
      </c>
      <c r="C40" s="46" t="s">
        <v>33</v>
      </c>
      <c r="D40" s="47">
        <v>51645.69</v>
      </c>
      <c r="E40" s="77">
        <f>'2006'!N37</f>
        <v>36464.33</v>
      </c>
      <c r="F40" s="48">
        <v>6.5</v>
      </c>
      <c r="G40" s="49">
        <v>1998</v>
      </c>
      <c r="H40" s="49">
        <v>2017</v>
      </c>
      <c r="I40" s="50">
        <v>4691.46</v>
      </c>
      <c r="J40" s="15">
        <v>2359</v>
      </c>
      <c r="K40" s="34"/>
      <c r="L40" s="15">
        <f t="shared" si="0"/>
        <v>2332.46</v>
      </c>
      <c r="M40" s="35"/>
      <c r="N40" s="141">
        <f t="shared" si="1"/>
        <v>34105.33</v>
      </c>
    </row>
    <row r="41" spans="1:14" ht="12.75">
      <c r="A41" s="140">
        <v>4297902</v>
      </c>
      <c r="B41" s="46" t="s">
        <v>20</v>
      </c>
      <c r="C41" s="46" t="s">
        <v>33</v>
      </c>
      <c r="D41" s="47">
        <v>51645.69</v>
      </c>
      <c r="E41" s="77">
        <f>'2006'!N38</f>
        <v>34416.340000000004</v>
      </c>
      <c r="F41" s="48">
        <v>6.5</v>
      </c>
      <c r="G41" s="49">
        <v>1997</v>
      </c>
      <c r="H41" s="49">
        <v>2016</v>
      </c>
      <c r="I41" s="50">
        <v>4734.24</v>
      </c>
      <c r="J41" s="15">
        <v>2537.74</v>
      </c>
      <c r="K41" s="34"/>
      <c r="L41" s="15">
        <f t="shared" si="0"/>
        <v>2196.5</v>
      </c>
      <c r="M41" s="35"/>
      <c r="N41" s="141">
        <f t="shared" si="1"/>
        <v>31878.600000000006</v>
      </c>
    </row>
    <row r="42" spans="1:14" ht="12.75">
      <c r="A42" s="140">
        <v>4142025</v>
      </c>
      <c r="B42" s="46" t="s">
        <v>20</v>
      </c>
      <c r="C42" s="46" t="s">
        <v>33</v>
      </c>
      <c r="D42" s="47">
        <v>6722.63</v>
      </c>
      <c r="E42" s="77">
        <f>'2006'!N39</f>
        <v>1750.2000000000003</v>
      </c>
      <c r="F42" s="48">
        <v>6.5</v>
      </c>
      <c r="G42" s="49">
        <v>1990</v>
      </c>
      <c r="H42" s="49">
        <v>2009</v>
      </c>
      <c r="I42" s="50">
        <v>651.52</v>
      </c>
      <c r="J42" s="15">
        <v>546.5</v>
      </c>
      <c r="K42" s="34"/>
      <c r="L42" s="15">
        <f t="shared" si="0"/>
        <v>105.01999999999998</v>
      </c>
      <c r="M42" s="35"/>
      <c r="N42" s="141">
        <f t="shared" si="1"/>
        <v>1203.7000000000003</v>
      </c>
    </row>
    <row r="43" spans="1:14" ht="12.75">
      <c r="A43" s="142" t="s">
        <v>35</v>
      </c>
      <c r="B43" s="46" t="s">
        <v>20</v>
      </c>
      <c r="C43" s="46" t="s">
        <v>33</v>
      </c>
      <c r="D43" s="47">
        <v>96568.75</v>
      </c>
      <c r="E43" s="77">
        <f>'2006'!N40</f>
        <v>25141.129999999997</v>
      </c>
      <c r="F43" s="48">
        <v>6.5</v>
      </c>
      <c r="G43" s="49">
        <v>1990</v>
      </c>
      <c r="H43" s="49">
        <v>2009</v>
      </c>
      <c r="I43" s="50">
        <v>9359.04</v>
      </c>
      <c r="J43" s="15">
        <v>7850.4</v>
      </c>
      <c r="K43" s="34">
        <v>3030</v>
      </c>
      <c r="L43" s="15">
        <f t="shared" si="0"/>
        <v>1508.6400000000012</v>
      </c>
      <c r="M43" s="35">
        <v>820</v>
      </c>
      <c r="N43" s="141">
        <f t="shared" si="1"/>
        <v>17290.729999999996</v>
      </c>
    </row>
    <row r="44" spans="1:14" ht="12.75">
      <c r="A44" s="140">
        <v>3078427</v>
      </c>
      <c r="B44" s="46" t="s">
        <v>20</v>
      </c>
      <c r="C44" s="46" t="s">
        <v>33</v>
      </c>
      <c r="D44" s="47">
        <v>144.61</v>
      </c>
      <c r="E44" s="77">
        <f>'2006'!N41</f>
        <v>77.85</v>
      </c>
      <c r="F44" s="48">
        <v>6.5</v>
      </c>
      <c r="G44" s="49">
        <v>1981</v>
      </c>
      <c r="H44" s="49">
        <v>2015</v>
      </c>
      <c r="I44" s="50">
        <v>11.56</v>
      </c>
      <c r="J44" s="15">
        <v>6.61</v>
      </c>
      <c r="K44" s="34"/>
      <c r="L44" s="15">
        <f t="shared" si="0"/>
        <v>4.95</v>
      </c>
      <c r="M44" s="35"/>
      <c r="N44" s="141">
        <f t="shared" si="1"/>
        <v>71.24</v>
      </c>
    </row>
    <row r="45" spans="1:14" ht="12.75">
      <c r="A45" s="142" t="s">
        <v>36</v>
      </c>
      <c r="B45" s="46" t="s">
        <v>20</v>
      </c>
      <c r="C45" s="46" t="s">
        <v>33</v>
      </c>
      <c r="D45" s="47">
        <v>3088.81</v>
      </c>
      <c r="E45" s="77">
        <f>'2006'!N42</f>
        <v>1237.9</v>
      </c>
      <c r="F45" s="48">
        <v>6.5</v>
      </c>
      <c r="G45" s="49">
        <v>1978</v>
      </c>
      <c r="H45" s="49">
        <v>2012</v>
      </c>
      <c r="I45" s="50">
        <v>252.44</v>
      </c>
      <c r="J45" s="15">
        <v>174.78</v>
      </c>
      <c r="K45" s="34"/>
      <c r="L45" s="15">
        <f t="shared" si="0"/>
        <v>77.66</v>
      </c>
      <c r="M45" s="35"/>
      <c r="N45" s="141">
        <f t="shared" si="1"/>
        <v>1063.1200000000001</v>
      </c>
    </row>
    <row r="46" spans="1:14" ht="12.75">
      <c r="A46" s="140">
        <v>675829</v>
      </c>
      <c r="B46" s="46" t="s">
        <v>20</v>
      </c>
      <c r="C46" s="46" t="s">
        <v>33</v>
      </c>
      <c r="D46" s="47">
        <v>2091.65</v>
      </c>
      <c r="E46" s="77">
        <f>'2006'!N43</f>
        <v>470.4200000000001</v>
      </c>
      <c r="F46" s="48">
        <v>6.5</v>
      </c>
      <c r="G46" s="49">
        <v>1975</v>
      </c>
      <c r="H46" s="49">
        <v>2009</v>
      </c>
      <c r="I46" s="50">
        <v>175.12</v>
      </c>
      <c r="J46" s="15">
        <v>146.89</v>
      </c>
      <c r="K46" s="34"/>
      <c r="L46" s="15">
        <f t="shared" si="0"/>
        <v>28.230000000000018</v>
      </c>
      <c r="M46" s="35"/>
      <c r="N46" s="141">
        <f t="shared" si="1"/>
        <v>323.5300000000001</v>
      </c>
    </row>
    <row r="47" spans="1:14" ht="13.5" thickBot="1">
      <c r="A47" s="183" t="s">
        <v>37</v>
      </c>
      <c r="B47" s="82" t="s">
        <v>20</v>
      </c>
      <c r="C47" s="82" t="s">
        <v>33</v>
      </c>
      <c r="D47" s="83">
        <v>841.65</v>
      </c>
      <c r="E47" s="84">
        <f>'2006'!N44</f>
        <v>291.93</v>
      </c>
      <c r="F47" s="85">
        <v>6.5</v>
      </c>
      <c r="G47" s="86">
        <v>1977</v>
      </c>
      <c r="H47" s="86">
        <v>2011</v>
      </c>
      <c r="I47" s="89">
        <v>69.32</v>
      </c>
      <c r="J47" s="90">
        <v>51.16</v>
      </c>
      <c r="K47" s="34"/>
      <c r="L47" s="90">
        <f t="shared" si="0"/>
        <v>18.159999999999997</v>
      </c>
      <c r="M47" s="35"/>
      <c r="N47" s="144">
        <f t="shared" si="1"/>
        <v>240.77</v>
      </c>
    </row>
    <row r="48" spans="1:14" ht="13.5" thickBot="1">
      <c r="A48" s="145"/>
      <c r="B48" s="98"/>
      <c r="C48" s="98"/>
      <c r="D48" s="99"/>
      <c r="E48" s="100" t="s">
        <v>42</v>
      </c>
      <c r="F48" s="101"/>
      <c r="G48" s="102"/>
      <c r="H48" s="103" t="s">
        <v>43</v>
      </c>
      <c r="I48" s="104">
        <f>SUM(I38:I47)</f>
        <v>29327.6</v>
      </c>
      <c r="J48" s="100">
        <f>SUM(J38:J47)</f>
        <v>18391.069999999996</v>
      </c>
      <c r="K48" s="224"/>
      <c r="L48" s="106">
        <f t="shared" si="0"/>
        <v>10936.530000000002</v>
      </c>
      <c r="M48" s="224"/>
      <c r="N48" s="169">
        <f>SUM(N38:N47)</f>
        <v>154387.70999999996</v>
      </c>
    </row>
    <row r="49" spans="1:14" ht="12.75">
      <c r="A49" s="147">
        <v>4444717</v>
      </c>
      <c r="B49" s="91" t="s">
        <v>20</v>
      </c>
      <c r="C49" s="91" t="s">
        <v>38</v>
      </c>
      <c r="D49" s="92">
        <v>98000</v>
      </c>
      <c r="E49" s="76">
        <f>'2006'!N48</f>
        <v>88482.04</v>
      </c>
      <c r="F49" s="93">
        <v>4.75</v>
      </c>
      <c r="G49" s="94">
        <v>2004</v>
      </c>
      <c r="H49" s="94">
        <v>2023</v>
      </c>
      <c r="I49" s="95">
        <v>7644.44</v>
      </c>
      <c r="J49" s="109">
        <v>3482.41</v>
      </c>
      <c r="K49" s="34"/>
      <c r="L49" s="109">
        <f t="shared" si="0"/>
        <v>4162.03</v>
      </c>
      <c r="M49" s="35"/>
      <c r="N49" s="148">
        <f t="shared" si="1"/>
        <v>84999.62999999999</v>
      </c>
    </row>
    <row r="50" spans="1:14" ht="12.75">
      <c r="A50" s="140">
        <v>4388738</v>
      </c>
      <c r="B50" s="46" t="s">
        <v>20</v>
      </c>
      <c r="C50" s="46" t="s">
        <v>38</v>
      </c>
      <c r="D50" s="47">
        <v>103291.38</v>
      </c>
      <c r="E50" s="77">
        <f>'2006'!N49</f>
        <v>86866.42</v>
      </c>
      <c r="F50" s="48">
        <v>5.5</v>
      </c>
      <c r="G50" s="49">
        <v>2002</v>
      </c>
      <c r="H50" s="49">
        <v>2021</v>
      </c>
      <c r="I50" s="50">
        <v>8579.7</v>
      </c>
      <c r="J50" s="15">
        <v>3854.32</v>
      </c>
      <c r="K50" s="34"/>
      <c r="L50" s="15">
        <f t="shared" si="0"/>
        <v>4725.380000000001</v>
      </c>
      <c r="M50" s="35"/>
      <c r="N50" s="141">
        <f t="shared" si="1"/>
        <v>83012.09999999999</v>
      </c>
    </row>
    <row r="51" spans="1:14" ht="12.75">
      <c r="A51" s="140">
        <v>4363583</v>
      </c>
      <c r="B51" s="46" t="s">
        <v>20</v>
      </c>
      <c r="C51" s="46" t="s">
        <v>38</v>
      </c>
      <c r="D51" s="47">
        <v>49982.94</v>
      </c>
      <c r="E51" s="77">
        <f>'2006'!N50</f>
        <v>40292.75</v>
      </c>
      <c r="F51" s="48">
        <v>5.75</v>
      </c>
      <c r="G51" s="49">
        <v>2001</v>
      </c>
      <c r="H51" s="49">
        <v>2020</v>
      </c>
      <c r="I51" s="50">
        <v>4229.3</v>
      </c>
      <c r="J51" s="15">
        <v>1939.95</v>
      </c>
      <c r="K51" s="34">
        <v>3030</v>
      </c>
      <c r="L51" s="15">
        <f t="shared" si="0"/>
        <v>2289.3500000000004</v>
      </c>
      <c r="M51" s="35">
        <v>910</v>
      </c>
      <c r="N51" s="141">
        <f t="shared" si="1"/>
        <v>38352.8</v>
      </c>
    </row>
    <row r="52" spans="1:14" ht="13.5" thickBot="1">
      <c r="A52" s="143">
        <v>4317938</v>
      </c>
      <c r="B52" s="82" t="s">
        <v>20</v>
      </c>
      <c r="C52" s="82" t="s">
        <v>38</v>
      </c>
      <c r="D52" s="83">
        <v>50396.44</v>
      </c>
      <c r="E52" s="84">
        <f>'2006'!N51</f>
        <v>35479.200000000004</v>
      </c>
      <c r="F52" s="85">
        <v>6.5</v>
      </c>
      <c r="G52" s="86">
        <v>1998</v>
      </c>
      <c r="H52" s="86">
        <v>2017</v>
      </c>
      <c r="I52" s="89">
        <v>4564.72</v>
      </c>
      <c r="J52" s="90">
        <v>2295.26</v>
      </c>
      <c r="K52" s="34" t="s">
        <v>42</v>
      </c>
      <c r="L52" s="90">
        <f t="shared" si="0"/>
        <v>2269.46</v>
      </c>
      <c r="M52" s="35" t="s">
        <v>42</v>
      </c>
      <c r="N52" s="144">
        <f t="shared" si="1"/>
        <v>33183.94</v>
      </c>
    </row>
    <row r="53" spans="1:14" ht="13.5" thickBot="1">
      <c r="A53" s="152"/>
      <c r="B53" s="98"/>
      <c r="C53" s="98"/>
      <c r="D53" s="99"/>
      <c r="E53" s="100" t="s">
        <v>42</v>
      </c>
      <c r="F53" s="101"/>
      <c r="G53" s="102"/>
      <c r="H53" s="103" t="s">
        <v>43</v>
      </c>
      <c r="I53" s="104">
        <f>SUM(I49:I52)</f>
        <v>25018.16</v>
      </c>
      <c r="J53" s="100">
        <f>SUM(J49:J52)</f>
        <v>11571.94</v>
      </c>
      <c r="K53" s="224"/>
      <c r="L53" s="100">
        <f t="shared" si="0"/>
        <v>13446.22</v>
      </c>
      <c r="M53" s="224"/>
      <c r="N53" s="169">
        <f>SUM(N49:N52)</f>
        <v>239548.46999999997</v>
      </c>
    </row>
    <row r="54" spans="1:14" ht="12.75">
      <c r="A54" s="147">
        <v>4284047</v>
      </c>
      <c r="B54" s="91" t="s">
        <v>20</v>
      </c>
      <c r="C54" s="91" t="s">
        <v>39</v>
      </c>
      <c r="D54" s="92">
        <v>77468.53</v>
      </c>
      <c r="E54" s="76">
        <f>'2006'!N53</f>
        <v>51847.47</v>
      </c>
      <c r="F54" s="93">
        <v>6.5</v>
      </c>
      <c r="G54" s="94">
        <v>1997</v>
      </c>
      <c r="H54" s="94">
        <v>2016</v>
      </c>
      <c r="I54" s="95">
        <v>7132.02</v>
      </c>
      <c r="J54" s="109">
        <v>3823.07</v>
      </c>
      <c r="K54" s="34"/>
      <c r="L54" s="109">
        <f t="shared" si="0"/>
        <v>3308.9500000000003</v>
      </c>
      <c r="M54" s="35"/>
      <c r="N54" s="148">
        <f t="shared" si="1"/>
        <v>48024.4</v>
      </c>
    </row>
    <row r="55" spans="1:14" ht="13.5" thickBot="1">
      <c r="A55" s="143">
        <v>649423</v>
      </c>
      <c r="B55" s="82" t="s">
        <v>20</v>
      </c>
      <c r="C55" s="82" t="s">
        <v>39</v>
      </c>
      <c r="D55" s="83">
        <v>897.55</v>
      </c>
      <c r="E55" s="84">
        <f>'2006'!N54</f>
        <v>110.60999999999999</v>
      </c>
      <c r="F55" s="85">
        <v>5</v>
      </c>
      <c r="G55" s="86">
        <v>1973</v>
      </c>
      <c r="H55" s="86">
        <v>2008</v>
      </c>
      <c r="I55" s="89">
        <v>58.74</v>
      </c>
      <c r="J55" s="90">
        <v>53.96</v>
      </c>
      <c r="K55" s="34">
        <v>3030</v>
      </c>
      <c r="L55" s="90">
        <f t="shared" si="0"/>
        <v>4.780000000000001</v>
      </c>
      <c r="M55" s="35">
        <v>930</v>
      </c>
      <c r="N55" s="144">
        <f t="shared" si="1"/>
        <v>56.649999999999984</v>
      </c>
    </row>
    <row r="56" spans="1:14" ht="13.5" thickBot="1">
      <c r="A56" s="145"/>
      <c r="B56" s="98"/>
      <c r="C56" s="98"/>
      <c r="D56" s="99"/>
      <c r="E56" s="100" t="s">
        <v>42</v>
      </c>
      <c r="F56" s="101"/>
      <c r="G56" s="102"/>
      <c r="H56" s="103" t="s">
        <v>43</v>
      </c>
      <c r="I56" s="163">
        <f>SUM(I54:I55)</f>
        <v>7190.76</v>
      </c>
      <c r="J56" s="162">
        <f>SUM(J54:J55)</f>
        <v>3877.03</v>
      </c>
      <c r="K56" s="224"/>
      <c r="L56" s="106">
        <f t="shared" si="0"/>
        <v>3313.73</v>
      </c>
      <c r="M56" s="224"/>
      <c r="N56" s="169">
        <f>SUM(N54:N55)</f>
        <v>48081.05</v>
      </c>
    </row>
    <row r="57" spans="1:14" ht="13.5" thickBot="1">
      <c r="A57" s="184">
        <v>38497</v>
      </c>
      <c r="B57" s="175" t="s">
        <v>40</v>
      </c>
      <c r="C57" s="175" t="s">
        <v>61</v>
      </c>
      <c r="D57" s="176">
        <v>130481.69</v>
      </c>
      <c r="E57" s="177">
        <f>'2006'!N57</f>
        <v>83427.06000000001</v>
      </c>
      <c r="F57" s="178">
        <v>6</v>
      </c>
      <c r="G57" s="179">
        <v>2002</v>
      </c>
      <c r="H57" s="180">
        <v>2014</v>
      </c>
      <c r="I57" s="89">
        <v>13239.06</v>
      </c>
      <c r="J57" s="90">
        <v>8429.13</v>
      </c>
      <c r="K57" s="34">
        <v>3040</v>
      </c>
      <c r="L57" s="118">
        <f t="shared" si="0"/>
        <v>4809.93</v>
      </c>
      <c r="M57" s="66">
        <v>950</v>
      </c>
      <c r="N57" s="170">
        <f t="shared" si="1"/>
        <v>74997.93000000001</v>
      </c>
    </row>
    <row r="58" spans="1:14" ht="13.5" thickBot="1">
      <c r="A58" s="145"/>
      <c r="B58" s="98"/>
      <c r="C58" s="98"/>
      <c r="D58" s="99"/>
      <c r="E58" s="100" t="s">
        <v>42</v>
      </c>
      <c r="F58" s="101"/>
      <c r="G58" s="102"/>
      <c r="H58" s="103" t="s">
        <v>43</v>
      </c>
      <c r="I58" s="181">
        <f>SUM(I57)</f>
        <v>13239.06</v>
      </c>
      <c r="J58" s="106">
        <f>SUM(J57)</f>
        <v>8429.13</v>
      </c>
      <c r="K58" s="224"/>
      <c r="L58" s="106">
        <f t="shared" si="0"/>
        <v>4809.93</v>
      </c>
      <c r="M58" s="224"/>
      <c r="N58" s="169">
        <f>SUM(N57)</f>
        <v>74997.93000000001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09">
        <f t="shared" si="0"/>
        <v>0</v>
      </c>
      <c r="M59" s="66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73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0"/>
        <v>0</v>
      </c>
      <c r="M68" s="27"/>
      <c r="N68" s="173">
        <f t="shared" si="1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0"/>
        <v>0</v>
      </c>
      <c r="M69" s="27"/>
      <c r="N69" s="173">
        <f t="shared" si="1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0"/>
        <v>0</v>
      </c>
      <c r="M70" s="27"/>
      <c r="N70" s="173">
        <f t="shared" si="1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0"/>
        <v>0</v>
      </c>
      <c r="M71" s="27"/>
      <c r="N71" s="173">
        <f t="shared" si="1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0"/>
        <v>0</v>
      </c>
      <c r="M72" s="27"/>
      <c r="N72" s="173">
        <f t="shared" si="1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aca="true" t="shared" si="2" ref="L73:L87">I73-J73</f>
        <v>0</v>
      </c>
      <c r="M73" s="27"/>
      <c r="N73" s="173">
        <f aca="true" t="shared" si="3" ref="N73:N87">E73-J73</f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73">
        <f t="shared" si="3"/>
        <v>0</v>
      </c>
    </row>
    <row r="82" spans="1:14" ht="13.5" hidden="1" thickBot="1">
      <c r="A82" s="154"/>
      <c r="B82" s="12"/>
      <c r="C82" s="12"/>
      <c r="D82" s="3"/>
      <c r="E82" s="4"/>
      <c r="F82" s="13"/>
      <c r="G82" s="25"/>
      <c r="H82" s="25"/>
      <c r="I82" s="5"/>
      <c r="J82" s="4"/>
      <c r="K82" s="14"/>
      <c r="L82" s="15">
        <f t="shared" si="2"/>
        <v>0</v>
      </c>
      <c r="M82" s="27"/>
      <c r="N82" s="173">
        <f t="shared" si="3"/>
        <v>0</v>
      </c>
    </row>
    <row r="83" spans="1:14" ht="13.5" hidden="1" thickBot="1">
      <c r="A83" s="154"/>
      <c r="B83" s="12"/>
      <c r="C83" s="12"/>
      <c r="D83" s="3"/>
      <c r="E83" s="4"/>
      <c r="F83" s="13"/>
      <c r="G83" s="25"/>
      <c r="H83" s="25"/>
      <c r="I83" s="5"/>
      <c r="J83" s="4"/>
      <c r="K83" s="14"/>
      <c r="L83" s="15">
        <f t="shared" si="2"/>
        <v>0</v>
      </c>
      <c r="M83" s="27"/>
      <c r="N83" s="173">
        <f t="shared" si="3"/>
        <v>0</v>
      </c>
    </row>
    <row r="84" spans="1:14" ht="13.5" hidden="1" thickBot="1">
      <c r="A84" s="154"/>
      <c r="B84" s="12"/>
      <c r="C84" s="12"/>
      <c r="D84" s="3"/>
      <c r="E84" s="4"/>
      <c r="F84" s="13"/>
      <c r="G84" s="25"/>
      <c r="H84" s="25"/>
      <c r="I84" s="5"/>
      <c r="J84" s="4"/>
      <c r="K84" s="14"/>
      <c r="L84" s="15">
        <f t="shared" si="2"/>
        <v>0</v>
      </c>
      <c r="M84" s="27"/>
      <c r="N84" s="173">
        <f t="shared" si="3"/>
        <v>0</v>
      </c>
    </row>
    <row r="85" spans="1:14" ht="13.5" hidden="1" thickBot="1">
      <c r="A85" s="154"/>
      <c r="B85" s="12"/>
      <c r="C85" s="12"/>
      <c r="D85" s="3"/>
      <c r="E85" s="4"/>
      <c r="F85" s="13"/>
      <c r="G85" s="25"/>
      <c r="H85" s="25"/>
      <c r="I85" s="5"/>
      <c r="J85" s="4"/>
      <c r="K85" s="14"/>
      <c r="L85" s="15">
        <f t="shared" si="2"/>
        <v>0</v>
      </c>
      <c r="M85" s="27"/>
      <c r="N85" s="173">
        <f t="shared" si="3"/>
        <v>0</v>
      </c>
    </row>
    <row r="86" spans="1:14" ht="13.5" hidden="1" thickBot="1">
      <c r="A86" s="154"/>
      <c r="B86" s="12"/>
      <c r="C86" s="12"/>
      <c r="D86" s="3"/>
      <c r="E86" s="4"/>
      <c r="F86" s="13"/>
      <c r="G86" s="25"/>
      <c r="H86" s="25"/>
      <c r="I86" s="5"/>
      <c r="J86" s="4"/>
      <c r="K86" s="14"/>
      <c r="L86" s="15">
        <f t="shared" si="2"/>
        <v>0</v>
      </c>
      <c r="M86" s="27"/>
      <c r="N86" s="173">
        <f t="shared" si="3"/>
        <v>0</v>
      </c>
    </row>
    <row r="87" spans="1:14" ht="13.5" hidden="1" thickBot="1">
      <c r="A87" s="155"/>
      <c r="B87" s="111"/>
      <c r="C87" s="111"/>
      <c r="D87" s="112"/>
      <c r="E87" s="126"/>
      <c r="F87" s="114"/>
      <c r="G87" s="115"/>
      <c r="H87" s="115"/>
      <c r="I87" s="116"/>
      <c r="J87" s="126"/>
      <c r="K87" s="127"/>
      <c r="L87" s="90">
        <f t="shared" si="2"/>
        <v>0</v>
      </c>
      <c r="M87" s="27"/>
      <c r="N87" s="170">
        <f t="shared" si="3"/>
        <v>0</v>
      </c>
    </row>
    <row r="88" spans="1:14" ht="14.25" thickBot="1" thickTop="1">
      <c r="A88" s="128"/>
      <c r="B88" s="129"/>
      <c r="C88" s="130" t="s">
        <v>8</v>
      </c>
      <c r="D88" s="131">
        <f>SUM(D3:D87)</f>
        <v>3133041.589999999</v>
      </c>
      <c r="E88" s="132">
        <f>SUM(E3:E87)</f>
        <v>2380439.73</v>
      </c>
      <c r="F88" s="133"/>
      <c r="G88" s="133"/>
      <c r="H88" s="133"/>
      <c r="I88" s="134">
        <f>+I14+I20+I22+I37+I48+I53+I56+I58</f>
        <v>261662.89</v>
      </c>
      <c r="J88" s="134">
        <f>+J14+J20+J22+J37+J48+J53+J56+J58</f>
        <v>139305.28999999998</v>
      </c>
      <c r="K88" s="133"/>
      <c r="L88" s="134">
        <f>+L14+L20+L22+L37+L48+L53+L56+L58</f>
        <v>122357.6</v>
      </c>
      <c r="M88" s="135"/>
      <c r="N88" s="136">
        <f>+N14+N20+N22+N37+N48+N53+N56+N58</f>
        <v>2241123.1999999997</v>
      </c>
    </row>
    <row r="89" ht="13.5" thickTop="1"/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showGridLines="0" zoomScalePageLayoutView="0" workbookViewId="0" topLeftCell="A1">
      <pane ySplit="2" topLeftCell="A21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17.14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63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64</v>
      </c>
      <c r="F2" s="138" t="s">
        <v>3</v>
      </c>
      <c r="G2" s="138" t="s">
        <v>4</v>
      </c>
      <c r="H2" s="138" t="s">
        <v>5</v>
      </c>
      <c r="I2" s="138" t="s">
        <v>65</v>
      </c>
      <c r="J2" s="138" t="s">
        <v>66</v>
      </c>
      <c r="K2" s="138" t="s">
        <v>6</v>
      </c>
      <c r="L2" s="164" t="s">
        <v>67</v>
      </c>
      <c r="M2" s="138" t="s">
        <v>6</v>
      </c>
      <c r="N2" s="139" t="s">
        <v>68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f>'2007'!N3</f>
        <v>358609.23000000004</v>
      </c>
      <c r="F3" s="48">
        <v>4.8</v>
      </c>
      <c r="G3" s="49">
        <v>2004</v>
      </c>
      <c r="H3" s="49">
        <v>2023</v>
      </c>
      <c r="I3" s="50">
        <v>32365.92</v>
      </c>
      <c r="J3" s="15">
        <v>15334.51</v>
      </c>
      <c r="K3" s="34" t="s">
        <v>42</v>
      </c>
      <c r="L3" s="15">
        <f>I3-J3</f>
        <v>17031.409999999996</v>
      </c>
      <c r="M3" s="35" t="s">
        <v>42</v>
      </c>
      <c r="N3" s="141">
        <f>E3-J3</f>
        <v>343274.72000000003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f>'2007'!N4</f>
        <v>123876.29</v>
      </c>
      <c r="F4" s="48">
        <v>5.25</v>
      </c>
      <c r="G4" s="49">
        <v>2002.2021</v>
      </c>
      <c r="H4" s="49">
        <v>2021</v>
      </c>
      <c r="I4" s="50">
        <v>12605.48</v>
      </c>
      <c r="J4" s="15">
        <v>6182.07</v>
      </c>
      <c r="K4" s="34"/>
      <c r="L4" s="15">
        <f aca="true" t="shared" si="0" ref="L4:L69">I4-J4</f>
        <v>6423.41</v>
      </c>
      <c r="M4" s="35"/>
      <c r="N4" s="141">
        <f aca="true" t="shared" si="1" ref="N4:N69">E4-J4</f>
        <v>117694.22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f>'2007'!N5</f>
        <v>79416.94</v>
      </c>
      <c r="F5" s="48">
        <v>5.75</v>
      </c>
      <c r="G5" s="49">
        <v>2001</v>
      </c>
      <c r="H5" s="49">
        <v>2020</v>
      </c>
      <c r="I5" s="50">
        <v>8757.58</v>
      </c>
      <c r="J5" s="15">
        <v>4251.35</v>
      </c>
      <c r="K5" s="34"/>
      <c r="L5" s="15">
        <f t="shared" si="0"/>
        <v>4506.23</v>
      </c>
      <c r="M5" s="35"/>
      <c r="N5" s="141">
        <f t="shared" si="1"/>
        <v>75165.59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f>'2007'!N6</f>
        <v>59562.71</v>
      </c>
      <c r="F6" s="48">
        <v>5.75</v>
      </c>
      <c r="G6" s="49">
        <v>2001</v>
      </c>
      <c r="H6" s="49">
        <v>2020</v>
      </c>
      <c r="I6" s="50">
        <v>6568.17</v>
      </c>
      <c r="J6" s="15">
        <v>3188.51</v>
      </c>
      <c r="K6" s="34"/>
      <c r="L6" s="15">
        <f t="shared" si="0"/>
        <v>3379.66</v>
      </c>
      <c r="M6" s="35"/>
      <c r="N6" s="141">
        <f t="shared" si="1"/>
        <v>56374.2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f>'2007'!N7</f>
        <v>107446.05000000002</v>
      </c>
      <c r="F7" s="48">
        <v>0</v>
      </c>
      <c r="G7" s="49">
        <v>2000</v>
      </c>
      <c r="H7" s="49">
        <v>2019</v>
      </c>
      <c r="I7" s="50">
        <v>14448.46</v>
      </c>
      <c r="J7" s="15">
        <v>8953.84</v>
      </c>
      <c r="K7" s="34">
        <v>3030</v>
      </c>
      <c r="L7" s="15">
        <f t="shared" si="0"/>
        <v>5494.619999999999</v>
      </c>
      <c r="M7" s="35">
        <v>283</v>
      </c>
      <c r="N7" s="141">
        <f t="shared" si="1"/>
        <v>98492.21000000002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f>'2007'!N8</f>
        <v>4092.62</v>
      </c>
      <c r="F8" s="48">
        <v>6.5</v>
      </c>
      <c r="G8" s="49">
        <v>1998</v>
      </c>
      <c r="H8" s="49">
        <v>2017</v>
      </c>
      <c r="I8" s="50">
        <v>562.98</v>
      </c>
      <c r="J8" s="15">
        <v>301.78</v>
      </c>
      <c r="K8" s="34"/>
      <c r="L8" s="15">
        <f t="shared" si="0"/>
        <v>261.20000000000005</v>
      </c>
      <c r="M8" s="35"/>
      <c r="N8" s="141">
        <f t="shared" si="1"/>
        <v>3790.84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f>'2007'!N9</f>
        <v>98223.37999999999</v>
      </c>
      <c r="F9" s="48">
        <v>6.5</v>
      </c>
      <c r="G9" s="49">
        <v>1998</v>
      </c>
      <c r="H9" s="49">
        <v>2017</v>
      </c>
      <c r="I9" s="50">
        <v>13511.4</v>
      </c>
      <c r="J9" s="15">
        <v>7242.69</v>
      </c>
      <c r="K9" s="34"/>
      <c r="L9" s="15">
        <f t="shared" si="0"/>
        <v>6268.71</v>
      </c>
      <c r="M9" s="35"/>
      <c r="N9" s="141">
        <f t="shared" si="1"/>
        <v>90980.68999999999</v>
      </c>
    </row>
    <row r="10" spans="1:14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f>'2007'!N10</f>
        <v>1692.0699999999995</v>
      </c>
      <c r="F10" s="48">
        <v>6.5</v>
      </c>
      <c r="G10" s="49">
        <v>1978</v>
      </c>
      <c r="H10" s="49">
        <v>2012</v>
      </c>
      <c r="I10" s="50">
        <v>401.8</v>
      </c>
      <c r="J10" s="15">
        <v>296.56</v>
      </c>
      <c r="K10" s="34"/>
      <c r="L10" s="15">
        <f t="shared" si="0"/>
        <v>105.24000000000001</v>
      </c>
      <c r="M10" s="35"/>
      <c r="N10" s="141">
        <f t="shared" si="1"/>
        <v>1395.5099999999995</v>
      </c>
    </row>
    <row r="11" spans="1:14" ht="12.75">
      <c r="A11" s="143">
        <v>647568</v>
      </c>
      <c r="B11" s="46" t="s">
        <v>7</v>
      </c>
      <c r="C11" s="46" t="s">
        <v>15</v>
      </c>
      <c r="D11" s="83">
        <v>17636.83</v>
      </c>
      <c r="E11" s="55">
        <f>'2007'!N11</f>
        <v>5045.4800000000005</v>
      </c>
      <c r="F11" s="85">
        <v>6.5</v>
      </c>
      <c r="G11" s="86">
        <v>1976</v>
      </c>
      <c r="H11" s="86">
        <v>2011</v>
      </c>
      <c r="I11" s="89">
        <v>1452.72</v>
      </c>
      <c r="J11" s="90">
        <v>1143.04</v>
      </c>
      <c r="K11" s="34"/>
      <c r="L11" s="90">
        <f t="shared" si="0"/>
        <v>309.68000000000006</v>
      </c>
      <c r="M11" s="35"/>
      <c r="N11" s="141">
        <f t="shared" si="1"/>
        <v>3902.4400000000005</v>
      </c>
    </row>
    <row r="12" spans="1:14" ht="13.5" thickBot="1">
      <c r="A12" s="222" t="s">
        <v>77</v>
      </c>
      <c r="B12" s="46" t="s">
        <v>7</v>
      </c>
      <c r="C12" s="46" t="s">
        <v>72</v>
      </c>
      <c r="D12" s="83">
        <v>80000</v>
      </c>
      <c r="E12" s="84">
        <v>74396.46</v>
      </c>
      <c r="F12" s="85">
        <v>3.72</v>
      </c>
      <c r="G12" s="86">
        <v>2006</v>
      </c>
      <c r="H12" s="86">
        <v>2025</v>
      </c>
      <c r="I12" s="89">
        <v>5716.4</v>
      </c>
      <c r="J12" s="90">
        <v>2961.4</v>
      </c>
      <c r="K12" s="34"/>
      <c r="L12" s="90">
        <f t="shared" si="0"/>
        <v>2754.9999999999995</v>
      </c>
      <c r="M12" s="35"/>
      <c r="N12" s="141">
        <f t="shared" si="1"/>
        <v>71435.06000000001</v>
      </c>
    </row>
    <row r="13" spans="1:14" ht="13.5" thickBot="1">
      <c r="A13" s="145"/>
      <c r="B13" s="98"/>
      <c r="C13" s="98"/>
      <c r="D13" s="99"/>
      <c r="E13" s="100" t="s">
        <v>42</v>
      </c>
      <c r="F13" s="101"/>
      <c r="G13" s="102"/>
      <c r="H13" s="103" t="s">
        <v>43</v>
      </c>
      <c r="I13" s="104">
        <f>SUM(I3:I12)</f>
        <v>96390.90999999997</v>
      </c>
      <c r="J13" s="100">
        <f>SUM(J3:J12)</f>
        <v>49855.75</v>
      </c>
      <c r="K13" s="105"/>
      <c r="L13" s="106">
        <f t="shared" si="0"/>
        <v>46535.159999999974</v>
      </c>
      <c r="M13" s="107"/>
      <c r="N13" s="146">
        <f>SUM(N3:N12)</f>
        <v>862505.4799999999</v>
      </c>
    </row>
    <row r="14" spans="1:14" ht="12.75">
      <c r="A14" s="147">
        <v>4367661</v>
      </c>
      <c r="B14" s="91" t="s">
        <v>20</v>
      </c>
      <c r="C14" s="91" t="s">
        <v>21</v>
      </c>
      <c r="D14" s="92">
        <v>51645.69</v>
      </c>
      <c r="E14" s="56">
        <f>'2007'!N15</f>
        <v>39708.45999999999</v>
      </c>
      <c r="F14" s="93">
        <v>5.75</v>
      </c>
      <c r="G14" s="94">
        <v>2001</v>
      </c>
      <c r="H14" s="94">
        <v>2020</v>
      </c>
      <c r="I14" s="95">
        <v>4378.78</v>
      </c>
      <c r="J14" s="96">
        <v>2125.67</v>
      </c>
      <c r="K14" s="65"/>
      <c r="L14" s="97">
        <f t="shared" si="0"/>
        <v>2253.1099999999997</v>
      </c>
      <c r="M14" s="66"/>
      <c r="N14" s="168">
        <f t="shared" si="1"/>
        <v>37582.78999999999</v>
      </c>
    </row>
    <row r="15" spans="1:14" ht="12.75">
      <c r="A15" s="140">
        <v>4363580</v>
      </c>
      <c r="B15" s="46" t="s">
        <v>20</v>
      </c>
      <c r="C15" s="46" t="s">
        <v>22</v>
      </c>
      <c r="D15" s="47">
        <v>77468.53</v>
      </c>
      <c r="E15" s="56">
        <f>'2007'!N16</f>
        <v>59562.71</v>
      </c>
      <c r="F15" s="48">
        <v>5.75</v>
      </c>
      <c r="G15" s="49">
        <v>2001</v>
      </c>
      <c r="H15" s="49">
        <v>2020</v>
      </c>
      <c r="I15" s="50">
        <v>6568.17</v>
      </c>
      <c r="J15" s="43">
        <v>3188.51</v>
      </c>
      <c r="K15" s="65"/>
      <c r="L15" s="42">
        <f t="shared" si="0"/>
        <v>3379.66</v>
      </c>
      <c r="M15" s="66"/>
      <c r="N15" s="141">
        <f t="shared" si="1"/>
        <v>56374.2</v>
      </c>
    </row>
    <row r="16" spans="1:14" ht="12.75">
      <c r="A16" s="142" t="s">
        <v>23</v>
      </c>
      <c r="B16" s="46" t="s">
        <v>20</v>
      </c>
      <c r="C16" s="46" t="s">
        <v>24</v>
      </c>
      <c r="D16" s="47">
        <v>55628.72</v>
      </c>
      <c r="E16" s="56">
        <f>'2007'!N17</f>
        <v>36520.02</v>
      </c>
      <c r="F16" s="48">
        <v>4.85</v>
      </c>
      <c r="G16" s="49">
        <v>1999</v>
      </c>
      <c r="H16" s="49">
        <v>2018</v>
      </c>
      <c r="I16" s="50">
        <v>4323.16</v>
      </c>
      <c r="J16" s="43">
        <v>2582.88</v>
      </c>
      <c r="K16" s="65">
        <v>3030</v>
      </c>
      <c r="L16" s="42">
        <f t="shared" si="0"/>
        <v>1740.2799999999997</v>
      </c>
      <c r="M16" s="66">
        <v>518</v>
      </c>
      <c r="N16" s="141">
        <f t="shared" si="1"/>
        <v>33937.14</v>
      </c>
    </row>
    <row r="17" spans="1:14" ht="13.5" thickBot="1">
      <c r="A17" s="143">
        <v>4271244</v>
      </c>
      <c r="B17" s="82" t="s">
        <v>20</v>
      </c>
      <c r="C17" s="82" t="s">
        <v>25</v>
      </c>
      <c r="D17" s="83">
        <v>69205.22</v>
      </c>
      <c r="E17" s="56">
        <v>39548.61</v>
      </c>
      <c r="F17" s="85">
        <v>6.5</v>
      </c>
      <c r="G17" s="86">
        <v>1996</v>
      </c>
      <c r="H17" s="86">
        <v>2015</v>
      </c>
      <c r="I17" s="89">
        <v>6417.96</v>
      </c>
      <c r="J17" s="157">
        <v>3909.82</v>
      </c>
      <c r="K17" s="65"/>
      <c r="L17" s="108">
        <f>I17-J17</f>
        <v>2508.14</v>
      </c>
      <c r="M17" s="66"/>
      <c r="N17" s="141">
        <f>E17-J17</f>
        <v>35638.79</v>
      </c>
    </row>
    <row r="18" spans="1:14" ht="13.5" thickBot="1">
      <c r="A18" s="145"/>
      <c r="B18" s="98"/>
      <c r="C18" s="98"/>
      <c r="D18" s="99"/>
      <c r="E18" s="110" t="s">
        <v>42</v>
      </c>
      <c r="F18" s="101"/>
      <c r="G18" s="102"/>
      <c r="H18" s="103" t="s">
        <v>43</v>
      </c>
      <c r="I18" s="104">
        <f>SUM(I14:I17)</f>
        <v>21688.07</v>
      </c>
      <c r="J18" s="100">
        <f>SUM(J14:J17)</f>
        <v>11806.880000000001</v>
      </c>
      <c r="K18" s="105"/>
      <c r="L18" s="106">
        <f t="shared" si="0"/>
        <v>9881.189999999999</v>
      </c>
      <c r="M18" s="107"/>
      <c r="N18" s="169">
        <f>SUM(N14:N17)</f>
        <v>163532.91999999998</v>
      </c>
    </row>
    <row r="19" spans="1:14" ht="13.5" thickBot="1">
      <c r="A19" s="149">
        <v>22851</v>
      </c>
      <c r="B19" s="111" t="s">
        <v>26</v>
      </c>
      <c r="C19" s="111" t="s">
        <v>27</v>
      </c>
      <c r="D19" s="112">
        <v>77468.53</v>
      </c>
      <c r="E19" s="113">
        <f>'2007'!N21</f>
        <v>53125.58</v>
      </c>
      <c r="F19" s="114">
        <v>5</v>
      </c>
      <c r="G19" s="115">
        <v>2002</v>
      </c>
      <c r="H19" s="115">
        <v>2016</v>
      </c>
      <c r="I19" s="116">
        <v>7402.53</v>
      </c>
      <c r="J19" s="117">
        <v>4805.57</v>
      </c>
      <c r="K19" s="34">
        <v>3040</v>
      </c>
      <c r="L19" s="118">
        <f>I19-J19</f>
        <v>2596.96</v>
      </c>
      <c r="M19" s="66">
        <v>645</v>
      </c>
      <c r="N19" s="170">
        <f>E19-J19</f>
        <v>48320.01</v>
      </c>
    </row>
    <row r="20" spans="1:14" ht="13.5" thickBot="1">
      <c r="A20" s="145"/>
      <c r="B20" s="98"/>
      <c r="C20" s="98"/>
      <c r="D20" s="99"/>
      <c r="E20" s="100" t="s">
        <v>42</v>
      </c>
      <c r="F20" s="101"/>
      <c r="G20" s="103"/>
      <c r="H20" s="103" t="s">
        <v>43</v>
      </c>
      <c r="I20" s="104">
        <f>SUM(I19:I19)</f>
        <v>7402.53</v>
      </c>
      <c r="J20" s="100">
        <f>SUM(J19:J19)</f>
        <v>4805.57</v>
      </c>
      <c r="K20" s="107"/>
      <c r="L20" s="106">
        <f t="shared" si="0"/>
        <v>2596.96</v>
      </c>
      <c r="M20" s="107"/>
      <c r="N20" s="169">
        <f>SUM(N19:N19)</f>
        <v>48320.01</v>
      </c>
    </row>
    <row r="21" spans="1:14" ht="12.75">
      <c r="A21" s="151" t="s">
        <v>28</v>
      </c>
      <c r="B21" s="91" t="s">
        <v>20</v>
      </c>
      <c r="C21" s="91" t="s">
        <v>29</v>
      </c>
      <c r="D21" s="92">
        <v>17559.53</v>
      </c>
      <c r="E21" s="113">
        <f>'2007'!N23</f>
        <v>13500.869999999999</v>
      </c>
      <c r="F21" s="93">
        <v>5.75</v>
      </c>
      <c r="G21" s="94">
        <v>2001</v>
      </c>
      <c r="H21" s="94">
        <v>2020</v>
      </c>
      <c r="I21" s="95">
        <v>1488.78</v>
      </c>
      <c r="J21" s="109">
        <v>722.73</v>
      </c>
      <c r="K21" s="34"/>
      <c r="L21" s="109">
        <f t="shared" si="0"/>
        <v>766.05</v>
      </c>
      <c r="M21" s="35"/>
      <c r="N21" s="150">
        <f t="shared" si="1"/>
        <v>12778.14</v>
      </c>
    </row>
    <row r="22" spans="1:14" ht="12.75">
      <c r="A22" s="140">
        <v>4364549</v>
      </c>
      <c r="B22" s="46" t="s">
        <v>20</v>
      </c>
      <c r="C22" s="46" t="s">
        <v>29</v>
      </c>
      <c r="D22" s="47">
        <v>137377.54</v>
      </c>
      <c r="E22" s="77">
        <f>'2007'!N24</f>
        <v>105624.54000000001</v>
      </c>
      <c r="F22" s="48">
        <v>5.75</v>
      </c>
      <c r="G22" s="49">
        <v>2001</v>
      </c>
      <c r="H22" s="49">
        <v>2020</v>
      </c>
      <c r="I22" s="50">
        <v>11647.56</v>
      </c>
      <c r="J22" s="15">
        <v>5654.29</v>
      </c>
      <c r="K22" s="34"/>
      <c r="L22" s="15">
        <f t="shared" si="0"/>
        <v>5993.2699999999995</v>
      </c>
      <c r="M22" s="35"/>
      <c r="N22" s="141">
        <f t="shared" si="1"/>
        <v>99970.25000000001</v>
      </c>
    </row>
    <row r="23" spans="1:14" ht="12.75">
      <c r="A23" s="140">
        <v>4297871</v>
      </c>
      <c r="B23" s="46" t="s">
        <v>20</v>
      </c>
      <c r="C23" s="46" t="s">
        <v>29</v>
      </c>
      <c r="D23" s="47">
        <v>129114.22</v>
      </c>
      <c r="E23" s="77">
        <f>'2007'!N25</f>
        <v>79696.42000000001</v>
      </c>
      <c r="F23" s="48">
        <v>6.5</v>
      </c>
      <c r="G23" s="49">
        <v>1997</v>
      </c>
      <c r="H23" s="49">
        <v>2016</v>
      </c>
      <c r="I23" s="50">
        <v>11835.58</v>
      </c>
      <c r="J23" s="15">
        <v>6763.47</v>
      </c>
      <c r="K23" s="34"/>
      <c r="L23" s="15">
        <f t="shared" si="0"/>
        <v>5072.11</v>
      </c>
      <c r="M23" s="35"/>
      <c r="N23" s="141">
        <f t="shared" si="1"/>
        <v>72932.95000000001</v>
      </c>
    </row>
    <row r="24" spans="1:14" ht="12.75">
      <c r="A24" s="140">
        <v>4268507</v>
      </c>
      <c r="B24" s="46" t="s">
        <v>20</v>
      </c>
      <c r="C24" s="46" t="s">
        <v>29</v>
      </c>
      <c r="D24" s="47">
        <v>77468.53</v>
      </c>
      <c r="E24" s="77">
        <f>'2007'!N26</f>
        <v>44270.88</v>
      </c>
      <c r="F24" s="48">
        <v>6.5</v>
      </c>
      <c r="G24" s="49">
        <v>1996</v>
      </c>
      <c r="H24" s="49">
        <v>2015</v>
      </c>
      <c r="I24" s="50">
        <v>7184.3</v>
      </c>
      <c r="J24" s="15">
        <v>4376.67</v>
      </c>
      <c r="K24" s="34"/>
      <c r="L24" s="15">
        <f t="shared" si="0"/>
        <v>2807.63</v>
      </c>
      <c r="M24" s="35"/>
      <c r="N24" s="141">
        <f t="shared" si="1"/>
        <v>39894.21</v>
      </c>
    </row>
    <row r="25" spans="1:14" ht="12.75">
      <c r="A25" s="142" t="s">
        <v>30</v>
      </c>
      <c r="B25" s="46" t="s">
        <v>20</v>
      </c>
      <c r="C25" s="46" t="s">
        <v>29</v>
      </c>
      <c r="D25" s="47">
        <v>74741.64</v>
      </c>
      <c r="E25" s="77">
        <f>'2007'!N27</f>
        <v>36829.350000000006</v>
      </c>
      <c r="F25" s="48">
        <v>6.5</v>
      </c>
      <c r="G25" s="49">
        <v>1981</v>
      </c>
      <c r="H25" s="49">
        <v>2015</v>
      </c>
      <c r="I25" s="50">
        <v>5976.68</v>
      </c>
      <c r="J25" s="15">
        <v>3641</v>
      </c>
      <c r="K25" s="34">
        <v>3030</v>
      </c>
      <c r="L25" s="15">
        <f t="shared" si="0"/>
        <v>2335.6800000000003</v>
      </c>
      <c r="M25" s="35">
        <v>760</v>
      </c>
      <c r="N25" s="141">
        <f t="shared" si="1"/>
        <v>33188.350000000006</v>
      </c>
    </row>
    <row r="26" spans="1:14" ht="12.75">
      <c r="A26" s="140">
        <v>687881</v>
      </c>
      <c r="B26" s="46" t="s">
        <v>20</v>
      </c>
      <c r="C26" s="46" t="s">
        <v>29</v>
      </c>
      <c r="D26" s="47">
        <v>10329.14</v>
      </c>
      <c r="E26" s="77">
        <f>'2007'!N28</f>
        <v>2954.89</v>
      </c>
      <c r="F26" s="48">
        <v>6.5</v>
      </c>
      <c r="G26" s="49">
        <v>1977</v>
      </c>
      <c r="H26" s="49">
        <v>2011</v>
      </c>
      <c r="I26" s="50">
        <v>850.8</v>
      </c>
      <c r="J26" s="15">
        <v>669.43</v>
      </c>
      <c r="K26" s="34"/>
      <c r="L26" s="15">
        <f t="shared" si="0"/>
        <v>181.37</v>
      </c>
      <c r="M26" s="35"/>
      <c r="N26" s="141">
        <f t="shared" si="1"/>
        <v>2285.46</v>
      </c>
    </row>
    <row r="27" spans="1:14" ht="12.75">
      <c r="A27" s="142" t="s">
        <v>31</v>
      </c>
      <c r="B27" s="46" t="s">
        <v>20</v>
      </c>
      <c r="C27" s="46" t="s">
        <v>29</v>
      </c>
      <c r="D27" s="47">
        <v>5087.74</v>
      </c>
      <c r="E27" s="77">
        <f>'2007'!N29</f>
        <v>624.4200000000003</v>
      </c>
      <c r="F27" s="48">
        <v>5</v>
      </c>
      <c r="G27" s="49">
        <v>1975</v>
      </c>
      <c r="H27" s="49">
        <v>2009</v>
      </c>
      <c r="I27" s="50">
        <v>331.66</v>
      </c>
      <c r="J27" s="15">
        <v>304.58</v>
      </c>
      <c r="K27" s="34"/>
      <c r="L27" s="15">
        <f t="shared" si="0"/>
        <v>27.08000000000004</v>
      </c>
      <c r="M27" s="35"/>
      <c r="N27" s="141">
        <f t="shared" si="1"/>
        <v>319.8400000000003</v>
      </c>
    </row>
    <row r="28" spans="1:14" ht="12.75">
      <c r="A28" s="140">
        <v>3033507</v>
      </c>
      <c r="B28" s="46" t="s">
        <v>20</v>
      </c>
      <c r="C28" s="46" t="s">
        <v>29</v>
      </c>
      <c r="D28" s="47">
        <v>23240.56</v>
      </c>
      <c r="E28" s="77">
        <f>'2007'!N30</f>
        <v>9244.140000000001</v>
      </c>
      <c r="F28" s="48">
        <v>6.5</v>
      </c>
      <c r="G28" s="49">
        <v>1979</v>
      </c>
      <c r="H28" s="49">
        <v>2013</v>
      </c>
      <c r="I28" s="50">
        <v>1885.2</v>
      </c>
      <c r="J28" s="15">
        <v>1305.21</v>
      </c>
      <c r="K28" s="34"/>
      <c r="L28" s="15">
        <f t="shared" si="0"/>
        <v>579.99</v>
      </c>
      <c r="M28" s="35"/>
      <c r="N28" s="141">
        <f t="shared" si="1"/>
        <v>7938.930000000001</v>
      </c>
    </row>
    <row r="29" spans="1:14" ht="12.75">
      <c r="A29" s="183">
        <v>4464738</v>
      </c>
      <c r="B29" s="46" t="s">
        <v>20</v>
      </c>
      <c r="C29" s="46" t="s">
        <v>29</v>
      </c>
      <c r="D29" s="83">
        <v>160000</v>
      </c>
      <c r="E29" s="77">
        <f>'2007'!N32</f>
        <v>148406.12</v>
      </c>
      <c r="F29" s="85">
        <v>3.4</v>
      </c>
      <c r="G29" s="86">
        <v>2006</v>
      </c>
      <c r="H29" s="86">
        <v>2025</v>
      </c>
      <c r="I29" s="89">
        <v>11091.2</v>
      </c>
      <c r="J29" s="90">
        <v>6096.77</v>
      </c>
      <c r="K29" s="34"/>
      <c r="L29" s="90">
        <f t="shared" si="0"/>
        <v>4994.43</v>
      </c>
      <c r="M29" s="35"/>
      <c r="N29" s="141">
        <f t="shared" si="1"/>
        <v>142309.35</v>
      </c>
    </row>
    <row r="30" spans="1:14" ht="12.75">
      <c r="A30" s="183">
        <v>4478664</v>
      </c>
      <c r="B30" s="46" t="s">
        <v>20</v>
      </c>
      <c r="C30" s="46" t="s">
        <v>29</v>
      </c>
      <c r="D30" s="83">
        <v>53000</v>
      </c>
      <c r="E30" s="77">
        <f>'2007'!N33</f>
        <v>49159.53</v>
      </c>
      <c r="F30" s="85">
        <v>3.4</v>
      </c>
      <c r="G30" s="86">
        <v>2006</v>
      </c>
      <c r="H30" s="86">
        <v>2026</v>
      </c>
      <c r="I30" s="89">
        <v>3673.96</v>
      </c>
      <c r="J30" s="90">
        <v>2019.56</v>
      </c>
      <c r="K30" s="34"/>
      <c r="L30" s="90">
        <f t="shared" si="0"/>
        <v>1654.4</v>
      </c>
      <c r="M30" s="35"/>
      <c r="N30" s="141">
        <f t="shared" si="1"/>
        <v>47139.97</v>
      </c>
    </row>
    <row r="31" spans="1:14" ht="12.75">
      <c r="A31" s="222" t="s">
        <v>76</v>
      </c>
      <c r="B31" s="46" t="s">
        <v>20</v>
      </c>
      <c r="C31" s="46" t="s">
        <v>73</v>
      </c>
      <c r="D31" s="83">
        <v>100000</v>
      </c>
      <c r="E31" s="55">
        <v>92981.52</v>
      </c>
      <c r="F31" s="85">
        <v>3.72</v>
      </c>
      <c r="G31" s="86">
        <v>2006</v>
      </c>
      <c r="H31" s="86">
        <v>2025</v>
      </c>
      <c r="I31" s="89">
        <v>7132.84</v>
      </c>
      <c r="J31" s="90">
        <v>3708.09</v>
      </c>
      <c r="K31" s="34"/>
      <c r="L31" s="90">
        <f t="shared" si="0"/>
        <v>3424.75</v>
      </c>
      <c r="M31" s="35"/>
      <c r="N31" s="141">
        <f t="shared" si="1"/>
        <v>89273.43000000001</v>
      </c>
    </row>
    <row r="32" spans="1:14" s="205" customFormat="1" ht="12.75">
      <c r="A32" s="172"/>
      <c r="B32" s="196"/>
      <c r="C32" s="196"/>
      <c r="D32" s="197"/>
      <c r="E32" s="206"/>
      <c r="F32" s="199"/>
      <c r="G32" s="182"/>
      <c r="H32" s="182"/>
      <c r="I32" s="200"/>
      <c r="J32" s="201"/>
      <c r="K32" s="202"/>
      <c r="L32" s="201"/>
      <c r="M32" s="203"/>
      <c r="N32" s="204"/>
    </row>
    <row r="33" spans="1:14" s="195" customFormat="1" ht="13.5" thickBot="1">
      <c r="A33" s="220"/>
      <c r="B33" s="185"/>
      <c r="C33" s="185"/>
      <c r="D33" s="186"/>
      <c r="E33" s="187"/>
      <c r="F33" s="188"/>
      <c r="G33" s="189"/>
      <c r="H33" s="189"/>
      <c r="I33" s="190"/>
      <c r="J33" s="191"/>
      <c r="K33" s="192"/>
      <c r="L33" s="191"/>
      <c r="M33" s="193"/>
      <c r="N33" s="194"/>
    </row>
    <row r="34" spans="1:14" ht="13.5" thickBot="1">
      <c r="A34" s="145"/>
      <c r="B34" s="98"/>
      <c r="C34" s="98"/>
      <c r="D34" s="99"/>
      <c r="E34" s="110" t="s">
        <v>42</v>
      </c>
      <c r="F34" s="101"/>
      <c r="G34" s="102"/>
      <c r="H34" s="103" t="s">
        <v>43</v>
      </c>
      <c r="I34" s="104">
        <f>SUM(I21:I33)</f>
        <v>63098.56</v>
      </c>
      <c r="J34" s="100">
        <f>SUM(J21:J33)</f>
        <v>35261.8</v>
      </c>
      <c r="K34" s="107"/>
      <c r="L34" s="106">
        <f t="shared" si="0"/>
        <v>27836.759999999995</v>
      </c>
      <c r="M34" s="107"/>
      <c r="N34" s="169">
        <f>SUM(N21:N33)</f>
        <v>548030.88</v>
      </c>
    </row>
    <row r="35" spans="1:14" ht="12.75">
      <c r="A35" s="151" t="s">
        <v>32</v>
      </c>
      <c r="B35" s="91" t="s">
        <v>20</v>
      </c>
      <c r="C35" s="91" t="s">
        <v>33</v>
      </c>
      <c r="D35" s="92">
        <v>13180.75</v>
      </c>
      <c r="E35" s="76">
        <f>'2007'!N38</f>
        <v>8704.2</v>
      </c>
      <c r="F35" s="93">
        <v>6.5</v>
      </c>
      <c r="G35" s="94">
        <v>1998</v>
      </c>
      <c r="H35" s="94">
        <v>2017</v>
      </c>
      <c r="I35" s="95">
        <v>1197.32</v>
      </c>
      <c r="J35" s="109">
        <v>641.82</v>
      </c>
      <c r="K35" s="34"/>
      <c r="L35" s="109">
        <f t="shared" si="0"/>
        <v>555.4999999999999</v>
      </c>
      <c r="M35" s="35"/>
      <c r="N35" s="148">
        <f t="shared" si="1"/>
        <v>8062.380000000001</v>
      </c>
    </row>
    <row r="36" spans="1:14" ht="12.75">
      <c r="A36" s="140">
        <v>4317937</v>
      </c>
      <c r="B36" s="46" t="s">
        <v>20</v>
      </c>
      <c r="C36" s="46" t="s">
        <v>33</v>
      </c>
      <c r="D36" s="47">
        <v>90110.63</v>
      </c>
      <c r="E36" s="76">
        <f>'2007'!N39</f>
        <v>59506.49</v>
      </c>
      <c r="F36" s="48">
        <v>6.5</v>
      </c>
      <c r="G36" s="49">
        <v>1998</v>
      </c>
      <c r="H36" s="49">
        <v>2017</v>
      </c>
      <c r="I36" s="50">
        <v>8185.58</v>
      </c>
      <c r="J36" s="15">
        <v>4387.82</v>
      </c>
      <c r="K36" s="34"/>
      <c r="L36" s="15">
        <f t="shared" si="0"/>
        <v>3797.76</v>
      </c>
      <c r="M36" s="35"/>
      <c r="N36" s="141">
        <f t="shared" si="1"/>
        <v>55118.67</v>
      </c>
    </row>
    <row r="37" spans="1:14" ht="12.75">
      <c r="A37" s="142" t="s">
        <v>34</v>
      </c>
      <c r="B37" s="46" t="s">
        <v>20</v>
      </c>
      <c r="C37" s="46" t="s">
        <v>33</v>
      </c>
      <c r="D37" s="47">
        <v>51645.69</v>
      </c>
      <c r="E37" s="76">
        <f>'2007'!N40</f>
        <v>34105.33</v>
      </c>
      <c r="F37" s="48">
        <v>6.5</v>
      </c>
      <c r="G37" s="49">
        <v>1998</v>
      </c>
      <c r="H37" s="49">
        <v>2017</v>
      </c>
      <c r="I37" s="50">
        <v>4691.46</v>
      </c>
      <c r="J37" s="15">
        <v>2514.83</v>
      </c>
      <c r="K37" s="34"/>
      <c r="L37" s="15">
        <f t="shared" si="0"/>
        <v>2176.63</v>
      </c>
      <c r="M37" s="35"/>
      <c r="N37" s="141">
        <f t="shared" si="1"/>
        <v>31590.5</v>
      </c>
    </row>
    <row r="38" spans="1:14" ht="12.75">
      <c r="A38" s="140">
        <v>4297902</v>
      </c>
      <c r="B38" s="46" t="s">
        <v>20</v>
      </c>
      <c r="C38" s="46" t="s">
        <v>33</v>
      </c>
      <c r="D38" s="47">
        <v>51645.69</v>
      </c>
      <c r="E38" s="76">
        <f>'2007'!N41</f>
        <v>31878.600000000006</v>
      </c>
      <c r="F38" s="48">
        <v>6.5</v>
      </c>
      <c r="G38" s="49">
        <v>1997</v>
      </c>
      <c r="H38" s="49">
        <v>2016</v>
      </c>
      <c r="I38" s="50">
        <v>4734.24</v>
      </c>
      <c r="J38" s="15">
        <v>2705.38</v>
      </c>
      <c r="K38" s="34"/>
      <c r="L38" s="15">
        <f t="shared" si="0"/>
        <v>2028.8599999999997</v>
      </c>
      <c r="M38" s="35"/>
      <c r="N38" s="141">
        <f t="shared" si="1"/>
        <v>29173.220000000005</v>
      </c>
    </row>
    <row r="39" spans="1:14" ht="12.75">
      <c r="A39" s="140">
        <v>4142025</v>
      </c>
      <c r="B39" s="46" t="s">
        <v>20</v>
      </c>
      <c r="C39" s="46" t="s">
        <v>33</v>
      </c>
      <c r="D39" s="47">
        <v>6722.63</v>
      </c>
      <c r="E39" s="76">
        <f>'2007'!N42</f>
        <v>1203.7000000000003</v>
      </c>
      <c r="F39" s="48">
        <v>6.5</v>
      </c>
      <c r="G39" s="49">
        <v>1990</v>
      </c>
      <c r="H39" s="225">
        <v>2009</v>
      </c>
      <c r="I39" s="50">
        <v>651.52</v>
      </c>
      <c r="J39" s="15">
        <v>582.6</v>
      </c>
      <c r="K39" s="34"/>
      <c r="L39" s="15">
        <f t="shared" si="0"/>
        <v>68.91999999999996</v>
      </c>
      <c r="M39" s="35"/>
      <c r="N39" s="141">
        <f t="shared" si="1"/>
        <v>621.1000000000003</v>
      </c>
    </row>
    <row r="40" spans="1:14" ht="12.75">
      <c r="A40" s="142" t="s">
        <v>35</v>
      </c>
      <c r="B40" s="46" t="s">
        <v>20</v>
      </c>
      <c r="C40" s="46" t="s">
        <v>33</v>
      </c>
      <c r="D40" s="47">
        <v>96568.75</v>
      </c>
      <c r="E40" s="76">
        <f>'2007'!N43</f>
        <v>17290.729999999996</v>
      </c>
      <c r="F40" s="48">
        <v>6.5</v>
      </c>
      <c r="G40" s="49">
        <v>1990</v>
      </c>
      <c r="H40" s="225">
        <v>2009</v>
      </c>
      <c r="I40" s="50">
        <v>9359.04</v>
      </c>
      <c r="J40" s="15">
        <v>8368.96</v>
      </c>
      <c r="K40" s="34">
        <v>3030</v>
      </c>
      <c r="L40" s="15">
        <f t="shared" si="0"/>
        <v>990.0800000000017</v>
      </c>
      <c r="M40" s="35">
        <v>820</v>
      </c>
      <c r="N40" s="141">
        <f t="shared" si="1"/>
        <v>8921.769999999997</v>
      </c>
    </row>
    <row r="41" spans="1:14" ht="12.75">
      <c r="A41" s="140">
        <v>3078427</v>
      </c>
      <c r="B41" s="46" t="s">
        <v>20</v>
      </c>
      <c r="C41" s="46" t="s">
        <v>33</v>
      </c>
      <c r="D41" s="47">
        <v>144.61</v>
      </c>
      <c r="E41" s="76">
        <f>'2007'!N44</f>
        <v>71.24</v>
      </c>
      <c r="F41" s="48">
        <v>6.5</v>
      </c>
      <c r="G41" s="49">
        <v>1981</v>
      </c>
      <c r="H41" s="49">
        <v>2015</v>
      </c>
      <c r="I41" s="50">
        <v>11.56</v>
      </c>
      <c r="J41" s="15">
        <v>7.05</v>
      </c>
      <c r="K41" s="34"/>
      <c r="L41" s="15">
        <f t="shared" si="0"/>
        <v>4.510000000000001</v>
      </c>
      <c r="M41" s="35"/>
      <c r="N41" s="141">
        <f t="shared" si="1"/>
        <v>64.19</v>
      </c>
    </row>
    <row r="42" spans="1:14" ht="12.75">
      <c r="A42" s="142" t="s">
        <v>36</v>
      </c>
      <c r="B42" s="46" t="s">
        <v>20</v>
      </c>
      <c r="C42" s="46" t="s">
        <v>33</v>
      </c>
      <c r="D42" s="47">
        <v>3088.81</v>
      </c>
      <c r="E42" s="76">
        <f>'2007'!N45</f>
        <v>1063.1200000000001</v>
      </c>
      <c r="F42" s="48">
        <v>6.5</v>
      </c>
      <c r="G42" s="49">
        <v>1978</v>
      </c>
      <c r="H42" s="49">
        <v>2012</v>
      </c>
      <c r="I42" s="50">
        <v>252.44</v>
      </c>
      <c r="J42" s="15">
        <v>186.32</v>
      </c>
      <c r="K42" s="34"/>
      <c r="L42" s="15">
        <f t="shared" si="0"/>
        <v>66.12</v>
      </c>
      <c r="M42" s="35"/>
      <c r="N42" s="141">
        <f t="shared" si="1"/>
        <v>876.8000000000002</v>
      </c>
    </row>
    <row r="43" spans="1:14" ht="12.75">
      <c r="A43" s="140">
        <v>675829</v>
      </c>
      <c r="B43" s="46" t="s">
        <v>20</v>
      </c>
      <c r="C43" s="46" t="s">
        <v>33</v>
      </c>
      <c r="D43" s="47">
        <v>2091.65</v>
      </c>
      <c r="E43" s="76">
        <f>'2007'!N46</f>
        <v>323.5300000000001</v>
      </c>
      <c r="F43" s="48">
        <v>6.5</v>
      </c>
      <c r="G43" s="49">
        <v>1975</v>
      </c>
      <c r="H43" s="225">
        <v>2009</v>
      </c>
      <c r="I43" s="50">
        <v>175.12</v>
      </c>
      <c r="J43" s="15">
        <v>156.6</v>
      </c>
      <c r="K43" s="34"/>
      <c r="L43" s="15">
        <f t="shared" si="0"/>
        <v>18.52000000000001</v>
      </c>
      <c r="M43" s="35"/>
      <c r="N43" s="141">
        <f t="shared" si="1"/>
        <v>166.9300000000001</v>
      </c>
    </row>
    <row r="44" spans="1:14" ht="13.5" thickBot="1">
      <c r="A44" s="183" t="s">
        <v>37</v>
      </c>
      <c r="B44" s="82" t="s">
        <v>20</v>
      </c>
      <c r="C44" s="82" t="s">
        <v>33</v>
      </c>
      <c r="D44" s="83">
        <v>841.65</v>
      </c>
      <c r="E44" s="76">
        <f>'2007'!N47</f>
        <v>240.77</v>
      </c>
      <c r="F44" s="85">
        <v>6.5</v>
      </c>
      <c r="G44" s="86">
        <v>1977</v>
      </c>
      <c r="H44" s="86">
        <v>2011</v>
      </c>
      <c r="I44" s="89">
        <v>69.32</v>
      </c>
      <c r="J44" s="90">
        <v>54.55</v>
      </c>
      <c r="K44" s="34"/>
      <c r="L44" s="90">
        <f t="shared" si="0"/>
        <v>14.769999999999996</v>
      </c>
      <c r="M44" s="35"/>
      <c r="N44" s="144">
        <f t="shared" si="1"/>
        <v>186.22000000000003</v>
      </c>
    </row>
    <row r="45" spans="1:14" ht="13.5" thickBot="1">
      <c r="A45" s="145"/>
      <c r="B45" s="98"/>
      <c r="C45" s="98"/>
      <c r="D45" s="99"/>
      <c r="E45" s="100" t="s">
        <v>42</v>
      </c>
      <c r="F45" s="101"/>
      <c r="G45" s="102"/>
      <c r="H45" s="103" t="s">
        <v>43</v>
      </c>
      <c r="I45" s="104">
        <f>SUM(I35:I44)</f>
        <v>29327.6</v>
      </c>
      <c r="J45" s="100">
        <f>SUM(J35:J44)</f>
        <v>19605.929999999993</v>
      </c>
      <c r="K45" s="107"/>
      <c r="L45" s="106">
        <f t="shared" si="0"/>
        <v>9721.670000000006</v>
      </c>
      <c r="M45" s="107"/>
      <c r="N45" s="169">
        <f>SUM(N35:N44)</f>
        <v>134781.78</v>
      </c>
    </row>
    <row r="46" spans="1:14" ht="12.75">
      <c r="A46" s="147">
        <v>4444717</v>
      </c>
      <c r="B46" s="91" t="s">
        <v>20</v>
      </c>
      <c r="C46" s="91" t="s">
        <v>38</v>
      </c>
      <c r="D46" s="92">
        <v>98000</v>
      </c>
      <c r="E46" s="76">
        <f>'2007'!N49</f>
        <v>84999.62999999999</v>
      </c>
      <c r="F46" s="93">
        <v>4.75</v>
      </c>
      <c r="G46" s="94">
        <v>2004</v>
      </c>
      <c r="H46" s="94">
        <v>2023</v>
      </c>
      <c r="I46" s="95">
        <v>7644.44</v>
      </c>
      <c r="J46" s="109">
        <v>3649.78</v>
      </c>
      <c r="K46" s="34"/>
      <c r="L46" s="109">
        <f t="shared" si="0"/>
        <v>3994.6599999999994</v>
      </c>
      <c r="M46" s="35"/>
      <c r="N46" s="148">
        <f t="shared" si="1"/>
        <v>81349.84999999999</v>
      </c>
    </row>
    <row r="47" spans="1:14" ht="12.75">
      <c r="A47" s="140">
        <v>4388738</v>
      </c>
      <c r="B47" s="46" t="s">
        <v>20</v>
      </c>
      <c r="C47" s="46" t="s">
        <v>38</v>
      </c>
      <c r="D47" s="47">
        <v>103291.38</v>
      </c>
      <c r="E47" s="76">
        <f>'2007'!N50</f>
        <v>83012.09999999999</v>
      </c>
      <c r="F47" s="48">
        <v>5.5</v>
      </c>
      <c r="G47" s="49">
        <v>2002</v>
      </c>
      <c r="H47" s="49">
        <v>2021</v>
      </c>
      <c r="I47" s="50">
        <v>8579.7</v>
      </c>
      <c r="J47" s="15">
        <v>4069.23</v>
      </c>
      <c r="K47" s="34"/>
      <c r="L47" s="15">
        <f t="shared" si="0"/>
        <v>4510.470000000001</v>
      </c>
      <c r="M47" s="35"/>
      <c r="N47" s="141">
        <f t="shared" si="1"/>
        <v>78942.87</v>
      </c>
    </row>
    <row r="48" spans="1:14" ht="12.75">
      <c r="A48" s="140">
        <v>4363583</v>
      </c>
      <c r="B48" s="46" t="s">
        <v>20</v>
      </c>
      <c r="C48" s="46" t="s">
        <v>38</v>
      </c>
      <c r="D48" s="47">
        <v>49982.94</v>
      </c>
      <c r="E48" s="76">
        <f>'2007'!N51</f>
        <v>38352.8</v>
      </c>
      <c r="F48" s="48">
        <v>5.75</v>
      </c>
      <c r="G48" s="49">
        <v>2001</v>
      </c>
      <c r="H48" s="49">
        <v>2020</v>
      </c>
      <c r="I48" s="50">
        <v>4229.3</v>
      </c>
      <c r="J48" s="15">
        <v>2053.1</v>
      </c>
      <c r="K48" s="34">
        <v>3030</v>
      </c>
      <c r="L48" s="15">
        <f t="shared" si="0"/>
        <v>2176.2000000000003</v>
      </c>
      <c r="M48" s="35">
        <v>910</v>
      </c>
      <c r="N48" s="141">
        <f t="shared" si="1"/>
        <v>36299.700000000004</v>
      </c>
    </row>
    <row r="49" spans="1:14" ht="13.5" thickBot="1">
      <c r="A49" s="143">
        <v>4317938</v>
      </c>
      <c r="B49" s="82" t="s">
        <v>20</v>
      </c>
      <c r="C49" s="82" t="s">
        <v>38</v>
      </c>
      <c r="D49" s="83">
        <v>50396.44</v>
      </c>
      <c r="E49" s="76">
        <f>'2007'!N52</f>
        <v>33183.94</v>
      </c>
      <c r="F49" s="85">
        <v>6.5</v>
      </c>
      <c r="G49" s="86">
        <v>1998</v>
      </c>
      <c r="H49" s="86">
        <v>2017</v>
      </c>
      <c r="I49" s="89">
        <v>4564.72</v>
      </c>
      <c r="J49" s="90">
        <v>2446.88</v>
      </c>
      <c r="K49" s="34" t="s">
        <v>42</v>
      </c>
      <c r="L49" s="90">
        <f>I49-J49</f>
        <v>2117.84</v>
      </c>
      <c r="M49" s="35" t="s">
        <v>42</v>
      </c>
      <c r="N49" s="144">
        <f>E49-J49</f>
        <v>30737.06</v>
      </c>
    </row>
    <row r="50" spans="1:14" ht="13.5" thickBot="1">
      <c r="A50" s="152"/>
      <c r="B50" s="98"/>
      <c r="C50" s="98"/>
      <c r="D50" s="99"/>
      <c r="E50" s="100" t="s">
        <v>42</v>
      </c>
      <c r="F50" s="101"/>
      <c r="G50" s="102"/>
      <c r="H50" s="103" t="s">
        <v>43</v>
      </c>
      <c r="I50" s="104">
        <f>SUM(I46:I49)</f>
        <v>25018.16</v>
      </c>
      <c r="J50" s="100">
        <f>SUM(J46:J49)</f>
        <v>12218.990000000002</v>
      </c>
      <c r="K50" s="107"/>
      <c r="L50" s="100">
        <f t="shared" si="0"/>
        <v>12799.169999999998</v>
      </c>
      <c r="M50" s="107"/>
      <c r="N50" s="169">
        <f>SUM(N46:N49)</f>
        <v>227329.47999999998</v>
      </c>
    </row>
    <row r="51" spans="1:14" ht="12.75">
      <c r="A51" s="147">
        <v>4284047</v>
      </c>
      <c r="B51" s="91" t="s">
        <v>20</v>
      </c>
      <c r="C51" s="91" t="s">
        <v>39</v>
      </c>
      <c r="D51" s="92">
        <v>77468.53</v>
      </c>
      <c r="E51" s="76">
        <f>'2007'!N54</f>
        <v>48024.4</v>
      </c>
      <c r="F51" s="93">
        <v>6.5</v>
      </c>
      <c r="G51" s="94">
        <v>1997</v>
      </c>
      <c r="H51" s="94">
        <v>2016</v>
      </c>
      <c r="I51" s="95">
        <v>7132.02</v>
      </c>
      <c r="J51" s="109">
        <v>4075.61</v>
      </c>
      <c r="K51" s="34"/>
      <c r="L51" s="109">
        <f t="shared" si="0"/>
        <v>3056.4100000000003</v>
      </c>
      <c r="M51" s="35"/>
      <c r="N51" s="148">
        <f t="shared" si="1"/>
        <v>43948.79</v>
      </c>
    </row>
    <row r="52" spans="1:14" ht="13.5" thickBot="1">
      <c r="A52" s="143">
        <v>649423</v>
      </c>
      <c r="B52" s="82" t="s">
        <v>20</v>
      </c>
      <c r="C52" s="82" t="s">
        <v>39</v>
      </c>
      <c r="D52" s="83">
        <v>897.55</v>
      </c>
      <c r="E52" s="76">
        <f>'2007'!N55</f>
        <v>56.649999999999984</v>
      </c>
      <c r="F52" s="85">
        <v>5</v>
      </c>
      <c r="G52" s="86">
        <v>1973</v>
      </c>
      <c r="H52" s="231">
        <v>2008</v>
      </c>
      <c r="I52" s="89">
        <v>58.74</v>
      </c>
      <c r="J52" s="90">
        <v>56.65</v>
      </c>
      <c r="K52" s="34">
        <v>3030</v>
      </c>
      <c r="L52" s="90">
        <f t="shared" si="0"/>
        <v>2.0900000000000034</v>
      </c>
      <c r="M52" s="35">
        <v>930</v>
      </c>
      <c r="N52" s="144">
        <f t="shared" si="1"/>
        <v>0</v>
      </c>
    </row>
    <row r="53" spans="1:14" ht="13.5" thickBot="1">
      <c r="A53" s="145"/>
      <c r="B53" s="98"/>
      <c r="C53" s="98"/>
      <c r="D53" s="99"/>
      <c r="E53" s="100" t="s">
        <v>42</v>
      </c>
      <c r="F53" s="101"/>
      <c r="G53" s="102"/>
      <c r="H53" s="103" t="s">
        <v>43</v>
      </c>
      <c r="I53" s="163">
        <f>SUM(I51:I52)</f>
        <v>7190.76</v>
      </c>
      <c r="J53" s="162">
        <f>SUM(J51:J52)</f>
        <v>4132.26</v>
      </c>
      <c r="K53" s="107"/>
      <c r="L53" s="106">
        <f t="shared" si="0"/>
        <v>3058.5</v>
      </c>
      <c r="M53" s="107"/>
      <c r="N53" s="169">
        <f>SUM(N51:N52)</f>
        <v>43948.79</v>
      </c>
    </row>
    <row r="54" spans="1:14" ht="13.5" thickBot="1">
      <c r="A54" s="184">
        <v>38497</v>
      </c>
      <c r="B54" s="175" t="s">
        <v>40</v>
      </c>
      <c r="C54" s="175" t="s">
        <v>61</v>
      </c>
      <c r="D54" s="176">
        <v>130481.69</v>
      </c>
      <c r="E54" s="177">
        <f>'2007'!N57</f>
        <v>74997.93000000001</v>
      </c>
      <c r="F54" s="178">
        <v>6</v>
      </c>
      <c r="G54" s="179">
        <v>2002</v>
      </c>
      <c r="H54" s="180">
        <v>2014</v>
      </c>
      <c r="I54" s="89">
        <v>13239.06</v>
      </c>
      <c r="J54" s="90">
        <v>8934.88</v>
      </c>
      <c r="K54" s="34">
        <v>3040</v>
      </c>
      <c r="L54" s="118">
        <f t="shared" si="0"/>
        <v>4304.18</v>
      </c>
      <c r="M54" s="66">
        <v>950</v>
      </c>
      <c r="N54" s="170">
        <f t="shared" si="1"/>
        <v>66063.05</v>
      </c>
    </row>
    <row r="55" spans="1:14" ht="13.5" thickBot="1">
      <c r="A55" s="145"/>
      <c r="B55" s="98"/>
      <c r="C55" s="98"/>
      <c r="D55" s="99"/>
      <c r="E55" s="100" t="s">
        <v>42</v>
      </c>
      <c r="F55" s="101"/>
      <c r="G55" s="102"/>
      <c r="H55" s="103" t="s">
        <v>43</v>
      </c>
      <c r="I55" s="181">
        <f>SUM(I54)</f>
        <v>13239.06</v>
      </c>
      <c r="J55" s="106">
        <f>SUM(J54)</f>
        <v>8934.88</v>
      </c>
      <c r="K55" s="107"/>
      <c r="L55" s="106">
        <f t="shared" si="0"/>
        <v>4304.18</v>
      </c>
      <c r="M55" s="107"/>
      <c r="N55" s="169">
        <f>SUM(N54)</f>
        <v>66063.05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09">
        <f t="shared" si="0"/>
        <v>0</v>
      </c>
      <c r="M56" s="66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73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0"/>
        <v>0</v>
      </c>
      <c r="M68" s="27"/>
      <c r="N68" s="173">
        <f t="shared" si="1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0"/>
        <v>0</v>
      </c>
      <c r="M69" s="27"/>
      <c r="N69" s="173">
        <f t="shared" si="1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aca="true" t="shared" si="2" ref="L70:L84">I70-J70</f>
        <v>0</v>
      </c>
      <c r="M70" s="27"/>
      <c r="N70" s="173">
        <f aca="true" t="shared" si="3" ref="N70:N84">E70-J70</f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73">
        <f t="shared" si="3"/>
        <v>0</v>
      </c>
    </row>
    <row r="82" spans="1:14" ht="13.5" hidden="1" thickBot="1">
      <c r="A82" s="154"/>
      <c r="B82" s="12"/>
      <c r="C82" s="12"/>
      <c r="D82" s="3"/>
      <c r="E82" s="4"/>
      <c r="F82" s="13"/>
      <c r="G82" s="25"/>
      <c r="H82" s="25"/>
      <c r="I82" s="5"/>
      <c r="J82" s="4"/>
      <c r="K82" s="14"/>
      <c r="L82" s="15">
        <f t="shared" si="2"/>
        <v>0</v>
      </c>
      <c r="M82" s="27"/>
      <c r="N82" s="173">
        <f t="shared" si="3"/>
        <v>0</v>
      </c>
    </row>
    <row r="83" spans="1:14" ht="13.5" hidden="1" thickBot="1">
      <c r="A83" s="154"/>
      <c r="B83" s="12"/>
      <c r="C83" s="12"/>
      <c r="D83" s="3"/>
      <c r="E83" s="4"/>
      <c r="F83" s="13"/>
      <c r="G83" s="25"/>
      <c r="H83" s="25"/>
      <c r="I83" s="5"/>
      <c r="J83" s="4"/>
      <c r="K83" s="14"/>
      <c r="L83" s="15">
        <f t="shared" si="2"/>
        <v>0</v>
      </c>
      <c r="M83" s="27"/>
      <c r="N83" s="173">
        <f t="shared" si="3"/>
        <v>0</v>
      </c>
    </row>
    <row r="84" spans="1:14" ht="13.5" hidden="1" thickBot="1">
      <c r="A84" s="155"/>
      <c r="B84" s="111"/>
      <c r="C84" s="111"/>
      <c r="D84" s="112"/>
      <c r="E84" s="126"/>
      <c r="F84" s="114"/>
      <c r="G84" s="115"/>
      <c r="H84" s="115"/>
      <c r="I84" s="116"/>
      <c r="J84" s="126"/>
      <c r="K84" s="127"/>
      <c r="L84" s="90">
        <f t="shared" si="2"/>
        <v>0</v>
      </c>
      <c r="M84" s="27"/>
      <c r="N84" s="170">
        <f t="shared" si="3"/>
        <v>0</v>
      </c>
    </row>
    <row r="85" spans="1:14" ht="14.25" thickBot="1" thickTop="1">
      <c r="A85" s="128"/>
      <c r="B85" s="129"/>
      <c r="C85" s="130" t="s">
        <v>8</v>
      </c>
      <c r="D85" s="131">
        <f>SUM(D3:D84)</f>
        <v>3131492.219999999</v>
      </c>
      <c r="E85" s="132">
        <f>SUM(E3:E84)</f>
        <v>2241134.45</v>
      </c>
      <c r="F85" s="133"/>
      <c r="G85" s="133"/>
      <c r="H85" s="133"/>
      <c r="I85" s="134">
        <f>+I13+I18+I20+I34+I45+I50+I53+I55</f>
        <v>263355.65</v>
      </c>
      <c r="J85" s="134">
        <f>+J13+J18+J20+J34+J45+J50+J53+J55</f>
        <v>146622.06000000003</v>
      </c>
      <c r="K85" s="133"/>
      <c r="L85" s="134">
        <f>+L13+L18+L20+L34+L45+L50+L53+L55</f>
        <v>116733.59</v>
      </c>
      <c r="M85" s="135"/>
      <c r="N85" s="136">
        <f>+N13+N18+N20+N34+N45+N50+N53+N55</f>
        <v>2094512.3900000001</v>
      </c>
    </row>
    <row r="86" ht="13.5" thickTop="1"/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PageLayoutView="0" workbookViewId="0" topLeftCell="A1">
      <pane ySplit="2" topLeftCell="A18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17.14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79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80</v>
      </c>
      <c r="F2" s="138" t="s">
        <v>3</v>
      </c>
      <c r="G2" s="138" t="s">
        <v>4</v>
      </c>
      <c r="H2" s="138" t="s">
        <v>5</v>
      </c>
      <c r="I2" s="138" t="s">
        <v>81</v>
      </c>
      <c r="J2" s="138" t="s">
        <v>82</v>
      </c>
      <c r="K2" s="138" t="s">
        <v>6</v>
      </c>
      <c r="L2" s="164" t="s">
        <v>83</v>
      </c>
      <c r="M2" s="138" t="s">
        <v>6</v>
      </c>
      <c r="N2" s="139" t="s">
        <v>84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v>343274.72</v>
      </c>
      <c r="F3" s="48">
        <v>4.8</v>
      </c>
      <c r="G3" s="49">
        <v>2004</v>
      </c>
      <c r="H3" s="49">
        <v>2023</v>
      </c>
      <c r="I3" s="50">
        <v>32365.92</v>
      </c>
      <c r="J3" s="15">
        <f>7944.37+8135.03</f>
        <v>16079.4</v>
      </c>
      <c r="K3" s="34" t="s">
        <v>42</v>
      </c>
      <c r="L3" s="15">
        <f>I3-J3</f>
        <v>16286.519999999999</v>
      </c>
      <c r="M3" s="35" t="s">
        <v>42</v>
      </c>
      <c r="N3" s="141">
        <f>E3-J3</f>
        <v>327195.31999999995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v>117694.22</v>
      </c>
      <c r="F4" s="48">
        <v>5.25</v>
      </c>
      <c r="G4" s="49">
        <v>2002.2021</v>
      </c>
      <c r="H4" s="49">
        <v>2021</v>
      </c>
      <c r="I4" s="50">
        <v>12605.48</v>
      </c>
      <c r="J4" s="15">
        <f>3213.27+3297.62</f>
        <v>6510.889999999999</v>
      </c>
      <c r="K4" s="34"/>
      <c r="L4" s="15">
        <f aca="true" t="shared" si="0" ref="L4:L67">I4-J4</f>
        <v>6094.59</v>
      </c>
      <c r="M4" s="35"/>
      <c r="N4" s="141">
        <f aca="true" t="shared" si="1" ref="N4:N67">E4-J4</f>
        <v>111183.33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v>75165.59</v>
      </c>
      <c r="F5" s="48">
        <v>5.75</v>
      </c>
      <c r="G5" s="49">
        <v>2001</v>
      </c>
      <c r="H5" s="49">
        <v>2020</v>
      </c>
      <c r="I5" s="50">
        <v>8757.58</v>
      </c>
      <c r="J5" s="15">
        <f>2217.78+2281.54</f>
        <v>4499.32</v>
      </c>
      <c r="K5" s="34"/>
      <c r="L5" s="15">
        <f t="shared" si="0"/>
        <v>4258.26</v>
      </c>
      <c r="M5" s="35"/>
      <c r="N5" s="141">
        <f t="shared" si="1"/>
        <v>70666.26999999999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v>56374.2</v>
      </c>
      <c r="F6" s="48">
        <v>5.75</v>
      </c>
      <c r="G6" s="49">
        <v>2001</v>
      </c>
      <c r="H6" s="49">
        <v>2020</v>
      </c>
      <c r="I6" s="50">
        <v>6568.17</v>
      </c>
      <c r="J6" s="15">
        <f>1663.33+1711.15</f>
        <v>3374.48</v>
      </c>
      <c r="K6" s="34"/>
      <c r="L6" s="15">
        <f t="shared" si="0"/>
        <v>3193.69</v>
      </c>
      <c r="M6" s="35"/>
      <c r="N6" s="141">
        <f t="shared" si="1"/>
        <v>52999.719999999994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v>98492.21</v>
      </c>
      <c r="F7" s="48">
        <v>0</v>
      </c>
      <c r="G7" s="49">
        <v>2000</v>
      </c>
      <c r="H7" s="49">
        <v>2019</v>
      </c>
      <c r="I7" s="50">
        <v>13642.28</v>
      </c>
      <c r="J7" s="15">
        <f>4476.92+4476.92</f>
        <v>8953.84</v>
      </c>
      <c r="K7" s="34">
        <v>3030</v>
      </c>
      <c r="L7" s="15">
        <f t="shared" si="0"/>
        <v>4688.4400000000005</v>
      </c>
      <c r="M7" s="35">
        <v>283</v>
      </c>
      <c r="N7" s="141">
        <f t="shared" si="1"/>
        <v>89538.37000000001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v>3790.84</v>
      </c>
      <c r="F8" s="48">
        <v>6.5</v>
      </c>
      <c r="G8" s="49">
        <v>1998</v>
      </c>
      <c r="H8" s="49">
        <v>2017</v>
      </c>
      <c r="I8" s="50">
        <v>562.98</v>
      </c>
      <c r="J8" s="15">
        <f>158.29+163.43</f>
        <v>321.72</v>
      </c>
      <c r="K8" s="34"/>
      <c r="L8" s="15">
        <f t="shared" si="0"/>
        <v>241.26</v>
      </c>
      <c r="M8" s="35"/>
      <c r="N8" s="141">
        <f t="shared" si="1"/>
        <v>3469.12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v>90980.69</v>
      </c>
      <c r="F9" s="48">
        <v>6.5</v>
      </c>
      <c r="G9" s="49">
        <v>1998</v>
      </c>
      <c r="H9" s="49">
        <v>2017</v>
      </c>
      <c r="I9" s="50">
        <v>13511.4</v>
      </c>
      <c r="J9" s="15">
        <f>3798.83+3922.29</f>
        <v>7721.12</v>
      </c>
      <c r="K9" s="34"/>
      <c r="L9" s="15">
        <f t="shared" si="0"/>
        <v>5790.28</v>
      </c>
      <c r="M9" s="35"/>
      <c r="N9" s="141">
        <f t="shared" si="1"/>
        <v>83259.57</v>
      </c>
    </row>
    <row r="10" spans="1:14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v>1395.51</v>
      </c>
      <c r="F10" s="48">
        <v>6.5</v>
      </c>
      <c r="G10" s="49">
        <v>1978</v>
      </c>
      <c r="H10" s="49">
        <v>2012</v>
      </c>
      <c r="I10" s="50">
        <v>401.8</v>
      </c>
      <c r="J10" s="15">
        <f>155.55+160.61</f>
        <v>316.16</v>
      </c>
      <c r="K10" s="34"/>
      <c r="L10" s="15">
        <f t="shared" si="0"/>
        <v>85.63999999999999</v>
      </c>
      <c r="M10" s="35"/>
      <c r="N10" s="141">
        <f t="shared" si="1"/>
        <v>1079.35</v>
      </c>
    </row>
    <row r="11" spans="1:14" ht="12.75">
      <c r="A11" s="143">
        <v>647568</v>
      </c>
      <c r="B11" s="46" t="s">
        <v>7</v>
      </c>
      <c r="C11" s="46" t="s">
        <v>15</v>
      </c>
      <c r="D11" s="83">
        <v>17636.83</v>
      </c>
      <c r="E11" s="55">
        <v>3902.44</v>
      </c>
      <c r="F11" s="85">
        <v>6.5</v>
      </c>
      <c r="G11" s="86">
        <v>1976</v>
      </c>
      <c r="H11" s="86">
        <v>2011</v>
      </c>
      <c r="I11" s="89">
        <v>1452.72</v>
      </c>
      <c r="J11" s="90">
        <f>599.53+619.01</f>
        <v>1218.54</v>
      </c>
      <c r="K11" s="34"/>
      <c r="L11" s="90">
        <f t="shared" si="0"/>
        <v>234.18000000000006</v>
      </c>
      <c r="M11" s="35"/>
      <c r="N11" s="141">
        <f t="shared" si="1"/>
        <v>2683.9</v>
      </c>
    </row>
    <row r="12" spans="1:14" ht="13.5" thickBot="1">
      <c r="A12" s="222" t="s">
        <v>77</v>
      </c>
      <c r="B12" s="46" t="s">
        <v>7</v>
      </c>
      <c r="C12" s="46" t="s">
        <v>72</v>
      </c>
      <c r="D12" s="83">
        <v>80000</v>
      </c>
      <c r="E12" s="84">
        <v>71435.06</v>
      </c>
      <c r="F12" s="85">
        <v>3.72</v>
      </c>
      <c r="G12" s="86">
        <v>2006</v>
      </c>
      <c r="H12" s="86">
        <v>2025</v>
      </c>
      <c r="I12" s="89">
        <v>5716.4</v>
      </c>
      <c r="J12" s="90">
        <f>1522.36+1550.83</f>
        <v>3073.1899999999996</v>
      </c>
      <c r="K12" s="34"/>
      <c r="L12" s="90">
        <f>I12-J12</f>
        <v>2643.21</v>
      </c>
      <c r="M12" s="35"/>
      <c r="N12" s="141">
        <f>E12-J12</f>
        <v>68361.87</v>
      </c>
    </row>
    <row r="13" spans="1:14" ht="13.5" thickBot="1">
      <c r="A13" s="145"/>
      <c r="B13" s="98"/>
      <c r="C13" s="98"/>
      <c r="D13" s="99"/>
      <c r="E13" s="100" t="s">
        <v>42</v>
      </c>
      <c r="F13" s="101"/>
      <c r="G13" s="102"/>
      <c r="H13" s="103" t="s">
        <v>43</v>
      </c>
      <c r="I13" s="104">
        <f>SUM(I3:I12)</f>
        <v>95584.72999999998</v>
      </c>
      <c r="J13" s="100">
        <f>SUM(J3:J12)</f>
        <v>52068.66000000001</v>
      </c>
      <c r="K13" s="223"/>
      <c r="L13" s="106">
        <f t="shared" si="0"/>
        <v>43516.06999999997</v>
      </c>
      <c r="M13" s="224"/>
      <c r="N13" s="146">
        <f>SUM(N3:N12)</f>
        <v>810436.82</v>
      </c>
    </row>
    <row r="14" spans="1:14" ht="12.75">
      <c r="A14" s="147">
        <v>4367661</v>
      </c>
      <c r="B14" s="91" t="s">
        <v>20</v>
      </c>
      <c r="C14" s="91" t="s">
        <v>21</v>
      </c>
      <c r="D14" s="92">
        <v>51645.69</v>
      </c>
      <c r="E14" s="56">
        <v>37582.79</v>
      </c>
      <c r="F14" s="93">
        <v>5.75</v>
      </c>
      <c r="G14" s="94">
        <v>2001</v>
      </c>
      <c r="H14" s="94">
        <v>2020</v>
      </c>
      <c r="I14" s="95">
        <v>4378.78</v>
      </c>
      <c r="J14" s="96">
        <f>1108.89+1140.77</f>
        <v>2249.66</v>
      </c>
      <c r="K14" s="65"/>
      <c r="L14" s="97">
        <f t="shared" si="0"/>
        <v>2129.12</v>
      </c>
      <c r="M14" s="66"/>
      <c r="N14" s="168">
        <f t="shared" si="1"/>
        <v>35333.130000000005</v>
      </c>
    </row>
    <row r="15" spans="1:14" ht="12.75">
      <c r="A15" s="140">
        <v>4363580</v>
      </c>
      <c r="B15" s="46" t="s">
        <v>20</v>
      </c>
      <c r="C15" s="46" t="s">
        <v>22</v>
      </c>
      <c r="D15" s="47">
        <v>77468.53</v>
      </c>
      <c r="E15" s="56">
        <v>56374.2</v>
      </c>
      <c r="F15" s="48">
        <v>5.75</v>
      </c>
      <c r="G15" s="49">
        <v>2001</v>
      </c>
      <c r="H15" s="49">
        <v>2020</v>
      </c>
      <c r="I15" s="50">
        <v>6568.17</v>
      </c>
      <c r="J15" s="43">
        <f>1663.33+1711.15</f>
        <v>3374.48</v>
      </c>
      <c r="K15" s="65"/>
      <c r="L15" s="42">
        <f t="shared" si="0"/>
        <v>3193.69</v>
      </c>
      <c r="M15" s="66"/>
      <c r="N15" s="141">
        <f t="shared" si="1"/>
        <v>52999.719999999994</v>
      </c>
    </row>
    <row r="16" spans="1:14" ht="12.75">
      <c r="A16" s="142" t="s">
        <v>23</v>
      </c>
      <c r="B16" s="46" t="s">
        <v>20</v>
      </c>
      <c r="C16" s="46" t="s">
        <v>24</v>
      </c>
      <c r="D16" s="47">
        <v>55628.72</v>
      </c>
      <c r="E16" s="56">
        <v>33937.14</v>
      </c>
      <c r="F16" s="48">
        <v>4.85</v>
      </c>
      <c r="G16" s="49">
        <v>1999</v>
      </c>
      <c r="H16" s="49">
        <v>2018</v>
      </c>
      <c r="I16" s="50">
        <v>4323.16</v>
      </c>
      <c r="J16" s="43">
        <f>1338.6+1371.06</f>
        <v>2709.66</v>
      </c>
      <c r="K16" s="65">
        <v>3030</v>
      </c>
      <c r="L16" s="42">
        <f t="shared" si="0"/>
        <v>1613.5</v>
      </c>
      <c r="M16" s="66">
        <v>518</v>
      </c>
      <c r="N16" s="141">
        <f t="shared" si="1"/>
        <v>31227.48</v>
      </c>
    </row>
    <row r="17" spans="1:14" ht="13.5" thickBot="1">
      <c r="A17" s="143">
        <v>4271244</v>
      </c>
      <c r="B17" s="82" t="s">
        <v>20</v>
      </c>
      <c r="C17" s="82" t="s">
        <v>25</v>
      </c>
      <c r="D17" s="83">
        <v>69205.22</v>
      </c>
      <c r="E17" s="56">
        <v>35638.79</v>
      </c>
      <c r="F17" s="85">
        <v>6.5</v>
      </c>
      <c r="G17" s="86">
        <v>1996</v>
      </c>
      <c r="H17" s="86">
        <v>2015</v>
      </c>
      <c r="I17" s="89">
        <v>6417.96</v>
      </c>
      <c r="J17" s="157">
        <f>2050.72+2117.37</f>
        <v>4168.09</v>
      </c>
      <c r="K17" s="65"/>
      <c r="L17" s="108">
        <f>I17-J17</f>
        <v>2249.87</v>
      </c>
      <c r="M17" s="66"/>
      <c r="N17" s="141">
        <f>E17-J17</f>
        <v>31470.7</v>
      </c>
    </row>
    <row r="18" spans="1:14" ht="13.5" thickBot="1">
      <c r="A18" s="145"/>
      <c r="B18" s="98"/>
      <c r="C18" s="98"/>
      <c r="D18" s="99"/>
      <c r="E18" s="110" t="s">
        <v>42</v>
      </c>
      <c r="F18" s="101"/>
      <c r="G18" s="102"/>
      <c r="H18" s="103" t="s">
        <v>43</v>
      </c>
      <c r="I18" s="104">
        <f>SUM(I14:I17)</f>
        <v>21688.07</v>
      </c>
      <c r="J18" s="100">
        <f>SUM(J14:J17)</f>
        <v>12501.89</v>
      </c>
      <c r="K18" s="223"/>
      <c r="L18" s="106">
        <f t="shared" si="0"/>
        <v>9186.18</v>
      </c>
      <c r="M18" s="224"/>
      <c r="N18" s="169">
        <f>SUM(N14:N17)</f>
        <v>151031.03</v>
      </c>
    </row>
    <row r="19" spans="1:14" ht="13.5" thickBot="1">
      <c r="A19" s="149">
        <v>22851</v>
      </c>
      <c r="B19" s="111" t="s">
        <v>26</v>
      </c>
      <c r="C19" s="111" t="s">
        <v>27</v>
      </c>
      <c r="D19" s="112">
        <v>77468.53</v>
      </c>
      <c r="E19" s="113">
        <v>48320.01</v>
      </c>
      <c r="F19" s="114">
        <v>5</v>
      </c>
      <c r="G19" s="115">
        <v>2002</v>
      </c>
      <c r="H19" s="115">
        <v>2016</v>
      </c>
      <c r="I19" s="116">
        <v>7402.53</v>
      </c>
      <c r="J19" s="117">
        <v>5048.86</v>
      </c>
      <c r="K19" s="34">
        <v>3040</v>
      </c>
      <c r="L19" s="118">
        <f>I19-J19</f>
        <v>2353.67</v>
      </c>
      <c r="M19" s="66">
        <v>645</v>
      </c>
      <c r="N19" s="170">
        <f>E19-J19</f>
        <v>43271.15</v>
      </c>
    </row>
    <row r="20" spans="1:14" ht="13.5" thickBot="1">
      <c r="A20" s="145"/>
      <c r="B20" s="98"/>
      <c r="C20" s="98"/>
      <c r="D20" s="99"/>
      <c r="E20" s="100" t="s">
        <v>42</v>
      </c>
      <c r="F20" s="101"/>
      <c r="G20" s="103"/>
      <c r="H20" s="103" t="s">
        <v>43</v>
      </c>
      <c r="I20" s="104">
        <f>SUM(I19)</f>
        <v>7402.53</v>
      </c>
      <c r="J20" s="100">
        <f>SUM(J19)</f>
        <v>5048.86</v>
      </c>
      <c r="K20" s="224"/>
      <c r="L20" s="106">
        <f t="shared" si="0"/>
        <v>2353.67</v>
      </c>
      <c r="M20" s="224"/>
      <c r="N20" s="169">
        <f>SUM(N19)</f>
        <v>43271.15</v>
      </c>
    </row>
    <row r="21" spans="1:14" ht="12" customHeight="1">
      <c r="A21" s="151" t="s">
        <v>28</v>
      </c>
      <c r="B21" s="91" t="s">
        <v>20</v>
      </c>
      <c r="C21" s="91" t="s">
        <v>29</v>
      </c>
      <c r="D21" s="92">
        <v>17559.53</v>
      </c>
      <c r="E21" s="113">
        <v>12778.14</v>
      </c>
      <c r="F21" s="93">
        <v>5.75</v>
      </c>
      <c r="G21" s="94">
        <v>2001</v>
      </c>
      <c r="H21" s="94">
        <v>2020</v>
      </c>
      <c r="I21" s="95">
        <v>1488.78</v>
      </c>
      <c r="J21" s="109">
        <f>377.02+387.86</f>
        <v>764.88</v>
      </c>
      <c r="K21" s="34"/>
      <c r="L21" s="109">
        <f t="shared" si="0"/>
        <v>723.9</v>
      </c>
      <c r="M21" s="35"/>
      <c r="N21" s="150">
        <f t="shared" si="1"/>
        <v>12013.26</v>
      </c>
    </row>
    <row r="22" spans="1:14" ht="12.75">
      <c r="A22" s="140">
        <v>4364549</v>
      </c>
      <c r="B22" s="46" t="s">
        <v>20</v>
      </c>
      <c r="C22" s="46" t="s">
        <v>29</v>
      </c>
      <c r="D22" s="47">
        <v>137377.54</v>
      </c>
      <c r="E22" s="77">
        <v>99970.25</v>
      </c>
      <c r="F22" s="48">
        <v>5.75</v>
      </c>
      <c r="G22" s="49">
        <v>2001</v>
      </c>
      <c r="H22" s="49">
        <v>2020</v>
      </c>
      <c r="I22" s="50">
        <v>11647.56</v>
      </c>
      <c r="J22" s="15">
        <f>2949.64+3034.44</f>
        <v>5984.08</v>
      </c>
      <c r="K22" s="34"/>
      <c r="L22" s="15">
        <f t="shared" si="0"/>
        <v>5663.48</v>
      </c>
      <c r="M22" s="35"/>
      <c r="N22" s="141">
        <f t="shared" si="1"/>
        <v>93986.17</v>
      </c>
    </row>
    <row r="23" spans="1:14" ht="12.75">
      <c r="A23" s="140">
        <v>4297871</v>
      </c>
      <c r="B23" s="46" t="s">
        <v>20</v>
      </c>
      <c r="C23" s="46" t="s">
        <v>29</v>
      </c>
      <c r="D23" s="47">
        <v>129114.22</v>
      </c>
      <c r="E23" s="77">
        <v>72932.95</v>
      </c>
      <c r="F23" s="48">
        <v>6.5</v>
      </c>
      <c r="G23" s="49">
        <v>1997</v>
      </c>
      <c r="H23" s="49">
        <v>2016</v>
      </c>
      <c r="I23" s="50">
        <v>11835.58</v>
      </c>
      <c r="J23" s="15">
        <f>3547.47+3662.76</f>
        <v>7210.23</v>
      </c>
      <c r="K23" s="34"/>
      <c r="L23" s="15">
        <f t="shared" si="0"/>
        <v>4625.35</v>
      </c>
      <c r="M23" s="35"/>
      <c r="N23" s="141">
        <f t="shared" si="1"/>
        <v>65722.72</v>
      </c>
    </row>
    <row r="24" spans="1:14" ht="12.75">
      <c r="A24" s="140">
        <v>4268507</v>
      </c>
      <c r="B24" s="46" t="s">
        <v>20</v>
      </c>
      <c r="C24" s="46" t="s">
        <v>29</v>
      </c>
      <c r="D24" s="47">
        <v>77468.53</v>
      </c>
      <c r="E24" s="77">
        <v>39894.21</v>
      </c>
      <c r="F24" s="48">
        <v>6.5</v>
      </c>
      <c r="G24" s="49">
        <v>1996</v>
      </c>
      <c r="H24" s="49">
        <v>2015</v>
      </c>
      <c r="I24" s="50">
        <v>7184.3</v>
      </c>
      <c r="J24" s="15">
        <f>2295.58+2370.19</f>
        <v>4665.77</v>
      </c>
      <c r="K24" s="34"/>
      <c r="L24" s="15">
        <f t="shared" si="0"/>
        <v>2518.5299999999997</v>
      </c>
      <c r="M24" s="35"/>
      <c r="N24" s="141">
        <f t="shared" si="1"/>
        <v>35228.44</v>
      </c>
    </row>
    <row r="25" spans="1:14" ht="12" customHeight="1">
      <c r="A25" s="142" t="s">
        <v>30</v>
      </c>
      <c r="B25" s="46" t="s">
        <v>20</v>
      </c>
      <c r="C25" s="46" t="s">
        <v>29</v>
      </c>
      <c r="D25" s="47">
        <v>74741.64</v>
      </c>
      <c r="E25" s="77">
        <v>33188.35</v>
      </c>
      <c r="F25" s="48">
        <v>6.5</v>
      </c>
      <c r="G25" s="49">
        <v>1981</v>
      </c>
      <c r="H25" s="49">
        <v>2015</v>
      </c>
      <c r="I25" s="50">
        <v>5976.68</v>
      </c>
      <c r="J25" s="15">
        <f>1909.72+1971.78</f>
        <v>3881.5</v>
      </c>
      <c r="K25" s="34">
        <v>3030</v>
      </c>
      <c r="L25" s="15">
        <f t="shared" si="0"/>
        <v>2095.1800000000003</v>
      </c>
      <c r="M25" s="35">
        <v>760</v>
      </c>
      <c r="N25" s="141">
        <f t="shared" si="1"/>
        <v>29306.85</v>
      </c>
    </row>
    <row r="26" spans="1:14" ht="12.75">
      <c r="A26" s="140">
        <v>687881</v>
      </c>
      <c r="B26" s="46" t="s">
        <v>20</v>
      </c>
      <c r="C26" s="46" t="s">
        <v>29</v>
      </c>
      <c r="D26" s="47">
        <v>10329.14</v>
      </c>
      <c r="E26" s="77">
        <v>2285.46</v>
      </c>
      <c r="F26" s="48">
        <v>6.5</v>
      </c>
      <c r="G26" s="49">
        <v>1977</v>
      </c>
      <c r="H26" s="49">
        <v>2011</v>
      </c>
      <c r="I26" s="50">
        <v>850.8</v>
      </c>
      <c r="J26" s="15">
        <f>351.12+362.53</f>
        <v>713.65</v>
      </c>
      <c r="K26" s="34"/>
      <c r="L26" s="15">
        <f t="shared" si="0"/>
        <v>137.14999999999998</v>
      </c>
      <c r="M26" s="35"/>
      <c r="N26" s="141">
        <f t="shared" si="1"/>
        <v>1571.81</v>
      </c>
    </row>
    <row r="27" spans="1:14" ht="12.75">
      <c r="A27" s="142" t="s">
        <v>31</v>
      </c>
      <c r="B27" s="46" t="s">
        <v>20</v>
      </c>
      <c r="C27" s="46" t="s">
        <v>29</v>
      </c>
      <c r="D27" s="47">
        <v>5087.74</v>
      </c>
      <c r="E27" s="77">
        <v>319.84</v>
      </c>
      <c r="F27" s="48">
        <v>5</v>
      </c>
      <c r="G27" s="49">
        <v>1975</v>
      </c>
      <c r="H27" s="225">
        <v>2009</v>
      </c>
      <c r="I27" s="50">
        <v>331.66</v>
      </c>
      <c r="J27" s="15">
        <f>159.91+159.93</f>
        <v>319.84000000000003</v>
      </c>
      <c r="K27" s="34"/>
      <c r="L27" s="15">
        <f t="shared" si="0"/>
        <v>11.819999999999993</v>
      </c>
      <c r="M27" s="35"/>
      <c r="N27" s="141">
        <f t="shared" si="1"/>
        <v>0</v>
      </c>
    </row>
    <row r="28" spans="1:14" ht="12.75">
      <c r="A28" s="140">
        <v>3033507</v>
      </c>
      <c r="B28" s="46" t="s">
        <v>20</v>
      </c>
      <c r="C28" s="46" t="s">
        <v>29</v>
      </c>
      <c r="D28" s="47">
        <v>23240.56</v>
      </c>
      <c r="E28" s="77">
        <v>7938.93</v>
      </c>
      <c r="F28" s="48">
        <v>6.5</v>
      </c>
      <c r="G28" s="49">
        <v>1979</v>
      </c>
      <c r="H28" s="49">
        <v>2013</v>
      </c>
      <c r="I28" s="50">
        <v>1885.2</v>
      </c>
      <c r="J28" s="15">
        <f>684.59+706.84</f>
        <v>1391.43</v>
      </c>
      <c r="K28" s="34"/>
      <c r="L28" s="15">
        <f t="shared" si="0"/>
        <v>493.77</v>
      </c>
      <c r="M28" s="35"/>
      <c r="N28" s="141">
        <f t="shared" si="1"/>
        <v>6547.5</v>
      </c>
    </row>
    <row r="29" spans="1:14" ht="12.75">
      <c r="A29" s="183">
        <v>4464738</v>
      </c>
      <c r="B29" s="46" t="s">
        <v>20</v>
      </c>
      <c r="C29" s="46" t="s">
        <v>29</v>
      </c>
      <c r="D29" s="83">
        <v>160000</v>
      </c>
      <c r="E29" s="77">
        <v>142309.35</v>
      </c>
      <c r="F29" s="85">
        <v>3.4</v>
      </c>
      <c r="G29" s="86">
        <v>2006</v>
      </c>
      <c r="H29" s="86">
        <v>2025</v>
      </c>
      <c r="I29" s="89">
        <v>11091.2</v>
      </c>
      <c r="J29" s="90">
        <f>3126.34+3179.49</f>
        <v>6305.83</v>
      </c>
      <c r="K29" s="34"/>
      <c r="L29" s="90">
        <f t="shared" si="0"/>
        <v>4785.370000000001</v>
      </c>
      <c r="M29" s="35"/>
      <c r="N29" s="141">
        <f t="shared" si="1"/>
        <v>136003.52000000002</v>
      </c>
    </row>
    <row r="30" spans="1:14" ht="12.75">
      <c r="A30" s="183">
        <v>4478664</v>
      </c>
      <c r="B30" s="46" t="s">
        <v>20</v>
      </c>
      <c r="C30" s="46" t="s">
        <v>29</v>
      </c>
      <c r="D30" s="83">
        <v>53000</v>
      </c>
      <c r="E30" s="77">
        <v>47139.97</v>
      </c>
      <c r="F30" s="85">
        <v>3.4</v>
      </c>
      <c r="G30" s="86">
        <v>2006</v>
      </c>
      <c r="H30" s="86">
        <v>2026</v>
      </c>
      <c r="I30" s="89">
        <v>3673.96</v>
      </c>
      <c r="J30" s="90">
        <f>1035.6+1053.2</f>
        <v>2088.8</v>
      </c>
      <c r="K30" s="34"/>
      <c r="L30" s="90">
        <f t="shared" si="0"/>
        <v>1585.1599999999999</v>
      </c>
      <c r="M30" s="35"/>
      <c r="N30" s="141">
        <f t="shared" si="1"/>
        <v>45051.17</v>
      </c>
    </row>
    <row r="31" spans="1:14" ht="13.5" thickBot="1">
      <c r="A31" s="222" t="s">
        <v>76</v>
      </c>
      <c r="B31" s="46" t="s">
        <v>20</v>
      </c>
      <c r="C31" s="46" t="s">
        <v>73</v>
      </c>
      <c r="D31" s="83">
        <v>100000</v>
      </c>
      <c r="E31" s="55">
        <v>89273.42</v>
      </c>
      <c r="F31" s="85">
        <v>3.72</v>
      </c>
      <c r="G31" s="86">
        <v>2006</v>
      </c>
      <c r="H31" s="86">
        <v>2025</v>
      </c>
      <c r="I31" s="89">
        <v>7132.84</v>
      </c>
      <c r="J31" s="90">
        <f>1905.93+1941.38</f>
        <v>3847.3100000000004</v>
      </c>
      <c r="K31" s="34"/>
      <c r="L31" s="90">
        <f t="shared" si="0"/>
        <v>3285.5299999999997</v>
      </c>
      <c r="M31" s="35"/>
      <c r="N31" s="141">
        <f t="shared" si="1"/>
        <v>85426.11</v>
      </c>
    </row>
    <row r="32" spans="1:14" ht="13.5" thickBot="1">
      <c r="A32" s="145"/>
      <c r="B32" s="98"/>
      <c r="C32" s="98"/>
      <c r="D32" s="99"/>
      <c r="E32" s="110" t="s">
        <v>42</v>
      </c>
      <c r="F32" s="101"/>
      <c r="G32" s="102"/>
      <c r="H32" s="103" t="s">
        <v>43</v>
      </c>
      <c r="I32" s="104">
        <f>SUM(I21:I31)</f>
        <v>63098.56</v>
      </c>
      <c r="J32" s="100">
        <f>SUM(J21:J31)</f>
        <v>37173.32</v>
      </c>
      <c r="K32" s="224"/>
      <c r="L32" s="106">
        <f t="shared" si="0"/>
        <v>25925.239999999998</v>
      </c>
      <c r="M32" s="224"/>
      <c r="N32" s="169">
        <f>SUM(N21:N31)</f>
        <v>510857.55</v>
      </c>
    </row>
    <row r="33" spans="1:14" ht="12.75">
      <c r="A33" s="151" t="s">
        <v>32</v>
      </c>
      <c r="B33" s="91" t="s">
        <v>20</v>
      </c>
      <c r="C33" s="91" t="s">
        <v>33</v>
      </c>
      <c r="D33" s="92">
        <v>13180.75</v>
      </c>
      <c r="E33" s="76">
        <v>8062.38</v>
      </c>
      <c r="F33" s="93">
        <v>6.5</v>
      </c>
      <c r="G33" s="94">
        <v>1998</v>
      </c>
      <c r="H33" s="94">
        <v>2017</v>
      </c>
      <c r="I33" s="95">
        <v>1197.32</v>
      </c>
      <c r="J33" s="109">
        <f>336.64+347.58</f>
        <v>684.22</v>
      </c>
      <c r="K33" s="34"/>
      <c r="L33" s="109">
        <f t="shared" si="0"/>
        <v>513.0999999999999</v>
      </c>
      <c r="M33" s="35"/>
      <c r="N33" s="148">
        <f t="shared" si="1"/>
        <v>7378.16</v>
      </c>
    </row>
    <row r="34" spans="1:14" ht="12.75">
      <c r="A34" s="140">
        <v>4317937</v>
      </c>
      <c r="B34" s="46" t="s">
        <v>20</v>
      </c>
      <c r="C34" s="46" t="s">
        <v>33</v>
      </c>
      <c r="D34" s="47">
        <v>90110.63</v>
      </c>
      <c r="E34" s="76">
        <v>55118.67</v>
      </c>
      <c r="F34" s="48">
        <v>6.5</v>
      </c>
      <c r="G34" s="49">
        <v>1998</v>
      </c>
      <c r="H34" s="49">
        <v>2017</v>
      </c>
      <c r="I34" s="50">
        <v>8185.58</v>
      </c>
      <c r="J34" s="15">
        <f>2301.43+2376.23</f>
        <v>4677.66</v>
      </c>
      <c r="K34" s="34"/>
      <c r="L34" s="15">
        <f t="shared" si="0"/>
        <v>3507.92</v>
      </c>
      <c r="M34" s="35"/>
      <c r="N34" s="141">
        <f t="shared" si="1"/>
        <v>50441.009999999995</v>
      </c>
    </row>
    <row r="35" spans="1:14" ht="12.75">
      <c r="A35" s="142" t="s">
        <v>34</v>
      </c>
      <c r="B35" s="46" t="s">
        <v>20</v>
      </c>
      <c r="C35" s="46" t="s">
        <v>33</v>
      </c>
      <c r="D35" s="47">
        <v>51645.69</v>
      </c>
      <c r="E35" s="76">
        <v>31590.5</v>
      </c>
      <c r="F35" s="48">
        <v>6.5</v>
      </c>
      <c r="G35" s="49">
        <v>1998</v>
      </c>
      <c r="H35" s="49">
        <v>2017</v>
      </c>
      <c r="I35" s="50">
        <v>4691.46</v>
      </c>
      <c r="J35" s="15">
        <f>1319.04+1361.91</f>
        <v>2680.95</v>
      </c>
      <c r="K35" s="34"/>
      <c r="L35" s="15">
        <f t="shared" si="0"/>
        <v>2010.5100000000002</v>
      </c>
      <c r="M35" s="35"/>
      <c r="N35" s="141">
        <f t="shared" si="1"/>
        <v>28909.55</v>
      </c>
    </row>
    <row r="36" spans="1:14" ht="12.75">
      <c r="A36" s="140">
        <v>4297902</v>
      </c>
      <c r="B36" s="46" t="s">
        <v>20</v>
      </c>
      <c r="C36" s="46" t="s">
        <v>33</v>
      </c>
      <c r="D36" s="47">
        <v>51645.69</v>
      </c>
      <c r="E36" s="76">
        <v>29173.22</v>
      </c>
      <c r="F36" s="48">
        <v>6.5</v>
      </c>
      <c r="G36" s="49">
        <v>1997</v>
      </c>
      <c r="H36" s="49">
        <v>2016</v>
      </c>
      <c r="I36" s="50">
        <v>4734.24</v>
      </c>
      <c r="J36" s="15">
        <f>1418.99+1465.1</f>
        <v>2884.09</v>
      </c>
      <c r="K36" s="34"/>
      <c r="L36" s="15">
        <f t="shared" si="0"/>
        <v>1850.1499999999996</v>
      </c>
      <c r="M36" s="35"/>
      <c r="N36" s="141">
        <f t="shared" si="1"/>
        <v>26289.13</v>
      </c>
    </row>
    <row r="37" spans="1:14" ht="12.75">
      <c r="A37" s="140">
        <v>4142025</v>
      </c>
      <c r="B37" s="46" t="s">
        <v>20</v>
      </c>
      <c r="C37" s="46" t="s">
        <v>33</v>
      </c>
      <c r="D37" s="47">
        <v>6722.63</v>
      </c>
      <c r="E37" s="76">
        <v>621.1</v>
      </c>
      <c r="F37" s="48">
        <v>6.5</v>
      </c>
      <c r="G37" s="49">
        <v>1990</v>
      </c>
      <c r="H37" s="225">
        <v>2009</v>
      </c>
      <c r="I37" s="50">
        <v>651.52</v>
      </c>
      <c r="J37" s="15">
        <f>305.58+315.52</f>
        <v>621.0999999999999</v>
      </c>
      <c r="K37" s="34"/>
      <c r="L37" s="15">
        <f t="shared" si="0"/>
        <v>30.420000000000073</v>
      </c>
      <c r="M37" s="35"/>
      <c r="N37" s="141">
        <f t="shared" si="1"/>
        <v>0</v>
      </c>
    </row>
    <row r="38" spans="1:14" ht="12.75">
      <c r="A38" s="142" t="s">
        <v>35</v>
      </c>
      <c r="B38" s="46" t="s">
        <v>20</v>
      </c>
      <c r="C38" s="46" t="s">
        <v>33</v>
      </c>
      <c r="D38" s="47">
        <v>96568.75</v>
      </c>
      <c r="E38" s="76">
        <v>8921.77</v>
      </c>
      <c r="F38" s="48">
        <v>6.5</v>
      </c>
      <c r="G38" s="49">
        <v>1990</v>
      </c>
      <c r="H38" s="225">
        <v>2009</v>
      </c>
      <c r="I38" s="50">
        <v>9359.04</v>
      </c>
      <c r="J38" s="15">
        <f>4389.56+4532.21</f>
        <v>8921.77</v>
      </c>
      <c r="K38" s="34">
        <v>3030</v>
      </c>
      <c r="L38" s="15">
        <f t="shared" si="0"/>
        <v>437.27000000000044</v>
      </c>
      <c r="M38" s="35">
        <v>820</v>
      </c>
      <c r="N38" s="141">
        <f t="shared" si="1"/>
        <v>0</v>
      </c>
    </row>
    <row r="39" spans="1:14" ht="12.75">
      <c r="A39" s="140">
        <v>3078427</v>
      </c>
      <c r="B39" s="46" t="s">
        <v>20</v>
      </c>
      <c r="C39" s="46" t="s">
        <v>33</v>
      </c>
      <c r="D39" s="47">
        <v>144.61</v>
      </c>
      <c r="E39" s="76">
        <v>64.19</v>
      </c>
      <c r="F39" s="48">
        <v>6.5</v>
      </c>
      <c r="G39" s="49">
        <v>1981</v>
      </c>
      <c r="H39" s="49">
        <v>2015</v>
      </c>
      <c r="I39" s="50">
        <v>11.56</v>
      </c>
      <c r="J39" s="15">
        <f>3.69+3.81</f>
        <v>7.5</v>
      </c>
      <c r="K39" s="34"/>
      <c r="L39" s="15">
        <f t="shared" si="0"/>
        <v>4.0600000000000005</v>
      </c>
      <c r="M39" s="35"/>
      <c r="N39" s="141">
        <f t="shared" si="1"/>
        <v>56.69</v>
      </c>
    </row>
    <row r="40" spans="1:14" ht="12.75">
      <c r="A40" s="142" t="s">
        <v>36</v>
      </c>
      <c r="B40" s="46" t="s">
        <v>20</v>
      </c>
      <c r="C40" s="46" t="s">
        <v>33</v>
      </c>
      <c r="D40" s="47">
        <v>3088.81</v>
      </c>
      <c r="E40" s="76">
        <v>876.8</v>
      </c>
      <c r="F40" s="48">
        <v>6.5</v>
      </c>
      <c r="G40" s="49">
        <v>1978</v>
      </c>
      <c r="H40" s="49">
        <v>2012</v>
      </c>
      <c r="I40" s="50">
        <v>252.44</v>
      </c>
      <c r="J40" s="15">
        <f>97.73+100.9</f>
        <v>198.63</v>
      </c>
      <c r="K40" s="34"/>
      <c r="L40" s="15">
        <f t="shared" si="0"/>
        <v>53.81</v>
      </c>
      <c r="M40" s="35"/>
      <c r="N40" s="141">
        <f t="shared" si="1"/>
        <v>678.17</v>
      </c>
    </row>
    <row r="41" spans="1:14" ht="12.75">
      <c r="A41" s="140">
        <v>675829</v>
      </c>
      <c r="B41" s="46" t="s">
        <v>20</v>
      </c>
      <c r="C41" s="46" t="s">
        <v>33</v>
      </c>
      <c r="D41" s="47">
        <v>2091.65</v>
      </c>
      <c r="E41" s="76">
        <v>166.93</v>
      </c>
      <c r="F41" s="48">
        <v>6.5</v>
      </c>
      <c r="G41" s="49">
        <v>1975</v>
      </c>
      <c r="H41" s="225">
        <v>2009</v>
      </c>
      <c r="I41" s="50">
        <v>175.12</v>
      </c>
      <c r="J41" s="15">
        <f>82.13+84.8</f>
        <v>166.93</v>
      </c>
      <c r="K41" s="34"/>
      <c r="L41" s="15">
        <f t="shared" si="0"/>
        <v>8.189999999999998</v>
      </c>
      <c r="M41" s="35"/>
      <c r="N41" s="141">
        <f t="shared" si="1"/>
        <v>0</v>
      </c>
    </row>
    <row r="42" spans="1:14" ht="13.5" thickBot="1">
      <c r="A42" s="183" t="s">
        <v>37</v>
      </c>
      <c r="B42" s="82" t="s">
        <v>20</v>
      </c>
      <c r="C42" s="82" t="s">
        <v>33</v>
      </c>
      <c r="D42" s="83">
        <v>841.65</v>
      </c>
      <c r="E42" s="76">
        <v>186.22</v>
      </c>
      <c r="F42" s="85">
        <v>6.5</v>
      </c>
      <c r="G42" s="86">
        <v>1977</v>
      </c>
      <c r="H42" s="86">
        <v>2011</v>
      </c>
      <c r="I42" s="89">
        <v>69.32</v>
      </c>
      <c r="J42" s="90">
        <f>28.61+29.54</f>
        <v>58.15</v>
      </c>
      <c r="K42" s="34"/>
      <c r="L42" s="90">
        <f t="shared" si="0"/>
        <v>11.169999999999995</v>
      </c>
      <c r="M42" s="35"/>
      <c r="N42" s="144">
        <f t="shared" si="1"/>
        <v>128.07</v>
      </c>
    </row>
    <row r="43" spans="1:14" ht="13.5" thickBot="1">
      <c r="A43" s="145"/>
      <c r="B43" s="98"/>
      <c r="C43" s="98"/>
      <c r="D43" s="99"/>
      <c r="E43" s="100" t="s">
        <v>42</v>
      </c>
      <c r="F43" s="101"/>
      <c r="G43" s="102"/>
      <c r="H43" s="103" t="s">
        <v>43</v>
      </c>
      <c r="I43" s="104">
        <f>SUM(I33:I42)</f>
        <v>29327.6</v>
      </c>
      <c r="J43" s="100">
        <f>SUM(J33:J42)</f>
        <v>20901.000000000004</v>
      </c>
      <c r="K43" s="224"/>
      <c r="L43" s="106">
        <f t="shared" si="0"/>
        <v>8426.599999999995</v>
      </c>
      <c r="M43" s="224"/>
      <c r="N43" s="169">
        <f>SUM(N33:N42)</f>
        <v>113880.78000000001</v>
      </c>
    </row>
    <row r="44" spans="1:14" ht="12.75">
      <c r="A44" s="147">
        <v>4444717</v>
      </c>
      <c r="B44" s="91" t="s">
        <v>20</v>
      </c>
      <c r="C44" s="91" t="s">
        <v>38</v>
      </c>
      <c r="D44" s="92">
        <v>98000</v>
      </c>
      <c r="E44" s="76">
        <v>81349.85</v>
      </c>
      <c r="F44" s="93">
        <v>4.75</v>
      </c>
      <c r="G44" s="94">
        <v>2004</v>
      </c>
      <c r="H44" s="94">
        <v>2023</v>
      </c>
      <c r="I44" s="95">
        <v>7644.44</v>
      </c>
      <c r="J44" s="109">
        <f>1890.16+1935.05</f>
        <v>3825.21</v>
      </c>
      <c r="K44" s="34"/>
      <c r="L44" s="109">
        <f t="shared" si="0"/>
        <v>3819.2299999999996</v>
      </c>
      <c r="M44" s="35"/>
      <c r="N44" s="148">
        <f t="shared" si="1"/>
        <v>77524.64</v>
      </c>
    </row>
    <row r="45" spans="1:14" ht="12.75">
      <c r="A45" s="140">
        <v>4388738</v>
      </c>
      <c r="B45" s="46" t="s">
        <v>20</v>
      </c>
      <c r="C45" s="46" t="s">
        <v>38</v>
      </c>
      <c r="D45" s="47">
        <v>103291.38</v>
      </c>
      <c r="E45" s="76">
        <v>78942.87</v>
      </c>
      <c r="F45" s="48">
        <v>5.5</v>
      </c>
      <c r="G45" s="49">
        <v>2002</v>
      </c>
      <c r="H45" s="49">
        <v>2021</v>
      </c>
      <c r="I45" s="50">
        <v>8579.7</v>
      </c>
      <c r="J45" s="15">
        <f>2118.92+2177.19</f>
        <v>4296.110000000001</v>
      </c>
      <c r="K45" s="34"/>
      <c r="L45" s="15">
        <f t="shared" si="0"/>
        <v>4283.59</v>
      </c>
      <c r="M45" s="35"/>
      <c r="N45" s="141">
        <f t="shared" si="1"/>
        <v>74646.76</v>
      </c>
    </row>
    <row r="46" spans="1:14" ht="12.75">
      <c r="A46" s="140">
        <v>4363583</v>
      </c>
      <c r="B46" s="46" t="s">
        <v>20</v>
      </c>
      <c r="C46" s="46" t="s">
        <v>38</v>
      </c>
      <c r="D46" s="47">
        <v>49982.94</v>
      </c>
      <c r="E46" s="76">
        <v>36299.7</v>
      </c>
      <c r="F46" s="48">
        <v>5.75</v>
      </c>
      <c r="G46" s="49">
        <v>2001</v>
      </c>
      <c r="H46" s="49">
        <v>2020</v>
      </c>
      <c r="I46" s="50">
        <v>4229.3</v>
      </c>
      <c r="J46" s="15">
        <f>1071.03+1101.82</f>
        <v>2172.85</v>
      </c>
      <c r="K46" s="34">
        <v>3030</v>
      </c>
      <c r="L46" s="15">
        <f t="shared" si="0"/>
        <v>2056.4500000000003</v>
      </c>
      <c r="M46" s="35">
        <v>910</v>
      </c>
      <c r="N46" s="141">
        <f t="shared" si="1"/>
        <v>34126.85</v>
      </c>
    </row>
    <row r="47" spans="1:14" ht="12.75">
      <c r="A47" s="143">
        <v>4317938</v>
      </c>
      <c r="B47" s="82" t="s">
        <v>20</v>
      </c>
      <c r="C47" s="82" t="s">
        <v>38</v>
      </c>
      <c r="D47" s="83">
        <v>50396.44</v>
      </c>
      <c r="E47" s="76">
        <v>30737.06</v>
      </c>
      <c r="F47" s="85">
        <v>6.5</v>
      </c>
      <c r="G47" s="86">
        <v>1998</v>
      </c>
      <c r="H47" s="86">
        <v>2017</v>
      </c>
      <c r="I47" s="89">
        <v>4564.72</v>
      </c>
      <c r="J47" s="90">
        <f>1283.4+1325.11</f>
        <v>2608.51</v>
      </c>
      <c r="K47" s="34" t="s">
        <v>42</v>
      </c>
      <c r="L47" s="90">
        <f>I47-J47</f>
        <v>1956.21</v>
      </c>
      <c r="M47" s="35" t="s">
        <v>42</v>
      </c>
      <c r="N47" s="144">
        <f>E47-J47</f>
        <v>28128.550000000003</v>
      </c>
    </row>
    <row r="48" spans="1:14" ht="13.5" thickBot="1">
      <c r="A48" s="222" t="s">
        <v>94</v>
      </c>
      <c r="B48" s="46" t="s">
        <v>20</v>
      </c>
      <c r="C48" s="46" t="s">
        <v>85</v>
      </c>
      <c r="D48" s="83">
        <v>130000</v>
      </c>
      <c r="E48" s="84">
        <v>130000</v>
      </c>
      <c r="F48" s="85">
        <v>4.39</v>
      </c>
      <c r="G48" s="86">
        <v>2008</v>
      </c>
      <c r="H48" s="86">
        <v>2028</v>
      </c>
      <c r="I48" s="89">
        <v>9832.52</v>
      </c>
      <c r="J48" s="90">
        <f>2062.76+2108.04</f>
        <v>4170.8</v>
      </c>
      <c r="K48" s="34"/>
      <c r="L48" s="90">
        <f>I48-J48</f>
        <v>5661.72</v>
      </c>
      <c r="M48" s="35"/>
      <c r="N48" s="141">
        <f>E48-J48</f>
        <v>125829.2</v>
      </c>
    </row>
    <row r="49" spans="1:14" ht="13.5" thickBot="1">
      <c r="A49" s="152"/>
      <c r="B49" s="98"/>
      <c r="C49" s="98"/>
      <c r="D49" s="99"/>
      <c r="E49" s="100" t="s">
        <v>42</v>
      </c>
      <c r="F49" s="101"/>
      <c r="G49" s="102"/>
      <c r="H49" s="103" t="s">
        <v>43</v>
      </c>
      <c r="I49" s="104">
        <f>SUM(I44:I48)</f>
        <v>34850.68</v>
      </c>
      <c r="J49" s="100">
        <f>SUM(J44:J48)</f>
        <v>17073.48</v>
      </c>
      <c r="K49" s="224"/>
      <c r="L49" s="100">
        <f t="shared" si="0"/>
        <v>17777.2</v>
      </c>
      <c r="M49" s="224"/>
      <c r="N49" s="169">
        <f>SUM(N44:N48)</f>
        <v>340256</v>
      </c>
    </row>
    <row r="50" spans="1:14" ht="13.5" thickBot="1">
      <c r="A50" s="147">
        <v>4284047</v>
      </c>
      <c r="B50" s="91" t="s">
        <v>20</v>
      </c>
      <c r="C50" s="91" t="s">
        <v>39</v>
      </c>
      <c r="D50" s="92">
        <v>77468.53</v>
      </c>
      <c r="E50" s="76">
        <v>43948.79</v>
      </c>
      <c r="F50" s="93">
        <v>6.5</v>
      </c>
      <c r="G50" s="94">
        <v>1997</v>
      </c>
      <c r="H50" s="94">
        <v>2016</v>
      </c>
      <c r="I50" s="95">
        <v>7132.02</v>
      </c>
      <c r="J50" s="109">
        <f>2137.68+2207.15</f>
        <v>4344.83</v>
      </c>
      <c r="K50" s="34">
        <v>3030</v>
      </c>
      <c r="L50" s="109">
        <f t="shared" si="0"/>
        <v>2787.1900000000005</v>
      </c>
      <c r="M50" s="35">
        <v>930</v>
      </c>
      <c r="N50" s="148">
        <f t="shared" si="1"/>
        <v>39603.96</v>
      </c>
    </row>
    <row r="51" spans="1:14" ht="13.5" thickBot="1">
      <c r="A51" s="145"/>
      <c r="B51" s="98"/>
      <c r="C51" s="98"/>
      <c r="D51" s="99"/>
      <c r="E51" s="100" t="s">
        <v>42</v>
      </c>
      <c r="F51" s="101"/>
      <c r="G51" s="102"/>
      <c r="H51" s="103" t="s">
        <v>43</v>
      </c>
      <c r="I51" s="163">
        <f>SUM(I50:I50)</f>
        <v>7132.02</v>
      </c>
      <c r="J51" s="162">
        <f>SUM(J50:J50)</f>
        <v>4344.83</v>
      </c>
      <c r="K51" s="224"/>
      <c r="L51" s="106">
        <f t="shared" si="0"/>
        <v>2787.1900000000005</v>
      </c>
      <c r="M51" s="224"/>
      <c r="N51" s="169">
        <f>SUM(N50:N50)</f>
        <v>39603.96</v>
      </c>
    </row>
    <row r="52" spans="1:14" ht="13.5" thickBot="1">
      <c r="A52" s="184">
        <v>38497</v>
      </c>
      <c r="B52" s="175" t="s">
        <v>40</v>
      </c>
      <c r="C52" s="175" t="s">
        <v>61</v>
      </c>
      <c r="D52" s="176">
        <v>130481.69</v>
      </c>
      <c r="E52" s="177">
        <v>66063.04</v>
      </c>
      <c r="F52" s="178">
        <v>6</v>
      </c>
      <c r="G52" s="179">
        <v>2002</v>
      </c>
      <c r="H52" s="180">
        <v>2014</v>
      </c>
      <c r="I52" s="89">
        <v>13239.06</v>
      </c>
      <c r="J52" s="90">
        <v>9470.97</v>
      </c>
      <c r="K52" s="34">
        <v>3040</v>
      </c>
      <c r="L52" s="118">
        <f t="shared" si="0"/>
        <v>3768.09</v>
      </c>
      <c r="M52" s="66">
        <v>950</v>
      </c>
      <c r="N52" s="170">
        <f t="shared" si="1"/>
        <v>56592.06999999999</v>
      </c>
    </row>
    <row r="53" spans="1:14" ht="13.5" thickBot="1">
      <c r="A53" s="145"/>
      <c r="B53" s="98"/>
      <c r="C53" s="98"/>
      <c r="D53" s="99"/>
      <c r="E53" s="100" t="s">
        <v>42</v>
      </c>
      <c r="F53" s="101"/>
      <c r="G53" s="102"/>
      <c r="H53" s="103" t="s">
        <v>43</v>
      </c>
      <c r="I53" s="181">
        <f>SUM(I52)</f>
        <v>13239.06</v>
      </c>
      <c r="J53" s="106">
        <f>SUM(J52)</f>
        <v>9470.97</v>
      </c>
      <c r="K53" s="224"/>
      <c r="L53" s="106">
        <f t="shared" si="0"/>
        <v>3768.09</v>
      </c>
      <c r="M53" s="224"/>
      <c r="N53" s="169">
        <f>SUM(N52)</f>
        <v>56592.06999999999</v>
      </c>
    </row>
    <row r="54" spans="1:14" ht="13.5" hidden="1" thickBot="1">
      <c r="A54" s="154"/>
      <c r="B54" s="12"/>
      <c r="C54" s="12"/>
      <c r="D54" s="3"/>
      <c r="E54" s="4"/>
      <c r="F54" s="13"/>
      <c r="G54" s="25"/>
      <c r="H54" s="25"/>
      <c r="I54" s="5"/>
      <c r="J54" s="4"/>
      <c r="K54" s="14"/>
      <c r="L54" s="109">
        <f t="shared" si="0"/>
        <v>0</v>
      </c>
      <c r="M54" s="66"/>
      <c r="N54" s="173">
        <f t="shared" si="1"/>
        <v>0</v>
      </c>
    </row>
    <row r="55" spans="1:14" ht="13.5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5">
        <f t="shared" si="0"/>
        <v>0</v>
      </c>
      <c r="M55" s="27"/>
      <c r="N55" s="173">
        <f t="shared" si="1"/>
        <v>0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73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aca="true" t="shared" si="2" ref="L68:L82">I68-J68</f>
        <v>0</v>
      </c>
      <c r="M68" s="27"/>
      <c r="N68" s="173">
        <f aca="true" t="shared" si="3" ref="N68:N82">E68-J68</f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73">
        <f t="shared" si="3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73">
        <f t="shared" si="3"/>
        <v>0</v>
      </c>
    </row>
    <row r="82" spans="1:14" ht="13.5" hidden="1" thickBot="1">
      <c r="A82" s="155"/>
      <c r="B82" s="111"/>
      <c r="C82" s="111"/>
      <c r="D82" s="112"/>
      <c r="E82" s="126"/>
      <c r="F82" s="114"/>
      <c r="G82" s="115"/>
      <c r="H82" s="115"/>
      <c r="I82" s="116"/>
      <c r="J82" s="126"/>
      <c r="K82" s="127"/>
      <c r="L82" s="90">
        <f t="shared" si="2"/>
        <v>0</v>
      </c>
      <c r="M82" s="27"/>
      <c r="N82" s="170">
        <f t="shared" si="3"/>
        <v>0</v>
      </c>
    </row>
    <row r="83" spans="1:14" ht="14.25" thickBot="1" thickTop="1">
      <c r="A83" s="128"/>
      <c r="B83" s="129"/>
      <c r="C83" s="130" t="s">
        <v>8</v>
      </c>
      <c r="D83" s="131">
        <f>SUM(D3:D82)</f>
        <v>3260594.669999999</v>
      </c>
      <c r="E83" s="132">
        <f>SUM(E3:E82)</f>
        <v>2224512.369999999</v>
      </c>
      <c r="F83" s="133"/>
      <c r="G83" s="133"/>
      <c r="H83" s="133"/>
      <c r="I83" s="134">
        <f>+I13+I18+I20+I32+I43+I49+I51+I53</f>
        <v>272323.25</v>
      </c>
      <c r="J83" s="134">
        <f>+J13+J18+J20+J32+J43+J49+J51+J53</f>
        <v>158583.01</v>
      </c>
      <c r="K83" s="133"/>
      <c r="L83" s="134">
        <f>+L13+L18+L20+L32+L43+L49+L51+L53</f>
        <v>113740.23999999996</v>
      </c>
      <c r="M83" s="135"/>
      <c r="N83" s="136">
        <f>+N13+N18+N20+N32+N43+N49+N51+N53</f>
        <v>2065929.36</v>
      </c>
    </row>
    <row r="84" ht="13.5" thickTop="1"/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6" sqref="D46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0039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86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87</v>
      </c>
      <c r="F2" s="138" t="s">
        <v>3</v>
      </c>
      <c r="G2" s="138" t="s">
        <v>4</v>
      </c>
      <c r="H2" s="138" t="s">
        <v>5</v>
      </c>
      <c r="I2" s="138" t="s">
        <v>91</v>
      </c>
      <c r="J2" s="138" t="s">
        <v>90</v>
      </c>
      <c r="K2" s="138" t="s">
        <v>6</v>
      </c>
      <c r="L2" s="164" t="s">
        <v>89</v>
      </c>
      <c r="M2" s="138" t="s">
        <v>6</v>
      </c>
      <c r="N2" s="139" t="s">
        <v>88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v>327195.32</v>
      </c>
      <c r="F3" s="48">
        <v>4.8</v>
      </c>
      <c r="G3" s="49">
        <v>2004</v>
      </c>
      <c r="H3" s="49">
        <v>2023</v>
      </c>
      <c r="I3" s="50">
        <v>32365.92</v>
      </c>
      <c r="J3" s="15">
        <f>8330.27+8530.2</f>
        <v>16860.47</v>
      </c>
      <c r="K3" s="34" t="s">
        <v>42</v>
      </c>
      <c r="L3" s="15">
        <f>I3-J3</f>
        <v>15505.449999999997</v>
      </c>
      <c r="M3" s="35" t="s">
        <v>42</v>
      </c>
      <c r="N3" s="141">
        <f>E3-J3</f>
        <v>310334.85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v>111183.33</v>
      </c>
      <c r="F4" s="48">
        <v>5.25</v>
      </c>
      <c r="G4" s="49">
        <v>2002.2021</v>
      </c>
      <c r="H4" s="49">
        <v>2021</v>
      </c>
      <c r="I4" s="50">
        <v>12605.48</v>
      </c>
      <c r="J4" s="15">
        <f>3384.18+3473.02</f>
        <v>6857.2</v>
      </c>
      <c r="K4" s="34"/>
      <c r="L4" s="15">
        <f aca="true" t="shared" si="0" ref="L4:L67">I4-J4</f>
        <v>5748.28</v>
      </c>
      <c r="M4" s="35"/>
      <c r="N4" s="141">
        <f aca="true" t="shared" si="1" ref="N4:N67">E4-J4</f>
        <v>104326.13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v>70666.27</v>
      </c>
      <c r="F5" s="48">
        <v>5.75</v>
      </c>
      <c r="G5" s="49">
        <v>2001</v>
      </c>
      <c r="H5" s="49">
        <v>2020</v>
      </c>
      <c r="I5" s="50">
        <v>8757.58</v>
      </c>
      <c r="J5" s="15">
        <f>2347.13+2414.61</f>
        <v>4761.74</v>
      </c>
      <c r="K5" s="34"/>
      <c r="L5" s="15">
        <f t="shared" si="0"/>
        <v>3995.84</v>
      </c>
      <c r="M5" s="35"/>
      <c r="N5" s="141">
        <f t="shared" si="1"/>
        <v>65904.53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v>52999.72</v>
      </c>
      <c r="F6" s="48">
        <v>5.75</v>
      </c>
      <c r="G6" s="49">
        <v>2001</v>
      </c>
      <c r="H6" s="49">
        <v>2020</v>
      </c>
      <c r="I6" s="50">
        <v>6568.18</v>
      </c>
      <c r="J6" s="15">
        <f>1760.35+1810.96</f>
        <v>3571.31</v>
      </c>
      <c r="K6" s="34"/>
      <c r="L6" s="15">
        <f t="shared" si="0"/>
        <v>2996.8700000000003</v>
      </c>
      <c r="M6" s="35"/>
      <c r="N6" s="141">
        <f t="shared" si="1"/>
        <v>49428.41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v>89538.37</v>
      </c>
      <c r="F7" s="48">
        <v>0</v>
      </c>
      <c r="G7" s="49">
        <v>2000</v>
      </c>
      <c r="H7" s="49">
        <v>2019</v>
      </c>
      <c r="I7" s="50">
        <v>13642.28</v>
      </c>
      <c r="J7" s="15">
        <f>4476.92+4476.92</f>
        <v>8953.84</v>
      </c>
      <c r="K7" s="34">
        <v>3030</v>
      </c>
      <c r="L7" s="15">
        <f t="shared" si="0"/>
        <v>4688.4400000000005</v>
      </c>
      <c r="M7" s="35">
        <v>283</v>
      </c>
      <c r="N7" s="141">
        <f t="shared" si="1"/>
        <v>80584.53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v>3469.12</v>
      </c>
      <c r="F8" s="48">
        <v>6.5</v>
      </c>
      <c r="G8" s="49">
        <v>1998</v>
      </c>
      <c r="H8" s="49">
        <v>2017</v>
      </c>
      <c r="I8" s="50">
        <v>562.98</v>
      </c>
      <c r="J8" s="15">
        <f>168.74+174.23</f>
        <v>342.97</v>
      </c>
      <c r="K8" s="34"/>
      <c r="L8" s="15">
        <f t="shared" si="0"/>
        <v>220.01</v>
      </c>
      <c r="M8" s="35"/>
      <c r="N8" s="141">
        <f t="shared" si="1"/>
        <v>3126.1499999999996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v>83259.57</v>
      </c>
      <c r="F9" s="48">
        <v>6.5</v>
      </c>
      <c r="G9" s="49">
        <v>1998</v>
      </c>
      <c r="H9" s="49">
        <v>2017</v>
      </c>
      <c r="I9" s="50">
        <v>13511.4</v>
      </c>
      <c r="J9" s="15">
        <f>4049.76+4181.38</f>
        <v>8231.14</v>
      </c>
      <c r="K9" s="34"/>
      <c r="L9" s="15">
        <f t="shared" si="0"/>
        <v>5280.26</v>
      </c>
      <c r="M9" s="35"/>
      <c r="N9" s="141">
        <f t="shared" si="1"/>
        <v>75028.43000000001</v>
      </c>
    </row>
    <row r="10" spans="1:14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v>1079.35</v>
      </c>
      <c r="F10" s="48">
        <v>6.5</v>
      </c>
      <c r="G10" s="49">
        <v>1978</v>
      </c>
      <c r="H10" s="49">
        <v>2012</v>
      </c>
      <c r="I10" s="50">
        <v>401.8</v>
      </c>
      <c r="J10" s="15">
        <f>165.83+171.21</f>
        <v>337.04</v>
      </c>
      <c r="K10" s="34"/>
      <c r="L10" s="15">
        <f t="shared" si="0"/>
        <v>64.75999999999999</v>
      </c>
      <c r="M10" s="35"/>
      <c r="N10" s="141">
        <f t="shared" si="1"/>
        <v>742.31</v>
      </c>
    </row>
    <row r="11" spans="1:14" ht="12.75">
      <c r="A11" s="143">
        <v>647568</v>
      </c>
      <c r="B11" s="46" t="s">
        <v>7</v>
      </c>
      <c r="C11" s="46" t="s">
        <v>15</v>
      </c>
      <c r="D11" s="83">
        <v>17636.83</v>
      </c>
      <c r="E11" s="55">
        <v>2683.9</v>
      </c>
      <c r="F11" s="85">
        <v>6.5</v>
      </c>
      <c r="G11" s="86">
        <v>1976</v>
      </c>
      <c r="H11" s="86">
        <v>2011</v>
      </c>
      <c r="I11" s="89">
        <v>1452.72</v>
      </c>
      <c r="J11" s="90">
        <f>639.13+659.9</f>
        <v>1299.03</v>
      </c>
      <c r="K11" s="34"/>
      <c r="L11" s="90">
        <f t="shared" si="0"/>
        <v>153.69000000000005</v>
      </c>
      <c r="M11" s="35"/>
      <c r="N11" s="141">
        <f t="shared" si="1"/>
        <v>1384.8700000000001</v>
      </c>
    </row>
    <row r="12" spans="1:14" ht="12.75">
      <c r="A12" s="222" t="s">
        <v>77</v>
      </c>
      <c r="B12" s="82" t="s">
        <v>7</v>
      </c>
      <c r="C12" s="82" t="s">
        <v>72</v>
      </c>
      <c r="D12" s="83">
        <v>80000</v>
      </c>
      <c r="E12" s="84">
        <v>68361.87</v>
      </c>
      <c r="F12" s="85">
        <v>3.72</v>
      </c>
      <c r="G12" s="86">
        <v>2006</v>
      </c>
      <c r="H12" s="86">
        <v>2025</v>
      </c>
      <c r="I12" s="89">
        <v>5716.4</v>
      </c>
      <c r="J12" s="90">
        <f>1579.83+1609.37</f>
        <v>3189.2</v>
      </c>
      <c r="K12" s="34"/>
      <c r="L12" s="90">
        <f>I12-J12</f>
        <v>2527.2</v>
      </c>
      <c r="M12" s="35"/>
      <c r="N12" s="141">
        <f>E12-J12</f>
        <v>65172.67</v>
      </c>
    </row>
    <row r="13" spans="1:14" s="237" customFormat="1" ht="13.5" thickBot="1">
      <c r="A13" s="252" t="s">
        <v>102</v>
      </c>
      <c r="B13" s="253" t="s">
        <v>20</v>
      </c>
      <c r="C13" s="253" t="s">
        <v>92</v>
      </c>
      <c r="D13" s="254">
        <v>60000</v>
      </c>
      <c r="E13" s="248">
        <v>60000</v>
      </c>
      <c r="F13" s="255">
        <v>4.65</v>
      </c>
      <c r="G13" s="256">
        <v>2010</v>
      </c>
      <c r="H13" s="257">
        <v>2029</v>
      </c>
      <c r="I13" s="258">
        <v>4644.1</v>
      </c>
      <c r="J13" s="259">
        <f>924.35+945.89</f>
        <v>1870.24</v>
      </c>
      <c r="K13" s="233"/>
      <c r="L13" s="234">
        <f>I13-J13</f>
        <v>2773.8600000000006</v>
      </c>
      <c r="M13" s="235"/>
      <c r="N13" s="236">
        <f>E13-J13</f>
        <v>58129.76</v>
      </c>
    </row>
    <row r="14" spans="1:14" ht="13.5" thickBot="1">
      <c r="A14" s="145"/>
      <c r="B14" s="98"/>
      <c r="C14" s="98"/>
      <c r="D14" s="99"/>
      <c r="E14" s="162" t="s">
        <v>42</v>
      </c>
      <c r="F14" s="101"/>
      <c r="G14" s="102"/>
      <c r="H14" s="103" t="s">
        <v>43</v>
      </c>
      <c r="I14" s="104">
        <f>SUM(I3:I13)</f>
        <v>100228.84</v>
      </c>
      <c r="J14" s="100">
        <f>SUM(J3:J13)</f>
        <v>56274.18</v>
      </c>
      <c r="K14" s="223"/>
      <c r="L14" s="106">
        <f t="shared" si="0"/>
        <v>43954.659999999996</v>
      </c>
      <c r="M14" s="224"/>
      <c r="N14" s="146">
        <f>SUM(N3:N13)</f>
        <v>814162.6400000002</v>
      </c>
    </row>
    <row r="15" spans="1:14" ht="12.75">
      <c r="A15" s="147">
        <v>4367661</v>
      </c>
      <c r="B15" s="91" t="s">
        <v>20</v>
      </c>
      <c r="C15" s="91" t="s">
        <v>21</v>
      </c>
      <c r="D15" s="92">
        <v>51645.69</v>
      </c>
      <c r="E15" s="77">
        <v>35333.13</v>
      </c>
      <c r="F15" s="93">
        <v>5.75</v>
      </c>
      <c r="G15" s="94">
        <v>2001</v>
      </c>
      <c r="H15" s="94">
        <v>2020</v>
      </c>
      <c r="I15" s="95">
        <v>4378.78</v>
      </c>
      <c r="J15" s="96">
        <f>1173.57+1207.31</f>
        <v>2380.88</v>
      </c>
      <c r="K15" s="65"/>
      <c r="L15" s="97">
        <f t="shared" si="0"/>
        <v>1997.8999999999996</v>
      </c>
      <c r="M15" s="66"/>
      <c r="N15" s="168">
        <f t="shared" si="1"/>
        <v>32952.25</v>
      </c>
    </row>
    <row r="16" spans="1:14" ht="12.75">
      <c r="A16" s="140">
        <v>4363580</v>
      </c>
      <c r="B16" s="46" t="s">
        <v>20</v>
      </c>
      <c r="C16" s="46" t="s">
        <v>22</v>
      </c>
      <c r="D16" s="47">
        <v>77468.53</v>
      </c>
      <c r="E16" s="77">
        <v>52999.72</v>
      </c>
      <c r="F16" s="48">
        <v>5.75</v>
      </c>
      <c r="G16" s="49">
        <v>2001</v>
      </c>
      <c r="H16" s="49">
        <v>2020</v>
      </c>
      <c r="I16" s="50">
        <v>6568.17</v>
      </c>
      <c r="J16" s="43">
        <f>1760.35+1810.96</f>
        <v>3571.31</v>
      </c>
      <c r="K16" s="65"/>
      <c r="L16" s="42">
        <f t="shared" si="0"/>
        <v>2996.86</v>
      </c>
      <c r="M16" s="66"/>
      <c r="N16" s="141">
        <f t="shared" si="1"/>
        <v>49428.41</v>
      </c>
    </row>
    <row r="17" spans="1:14" ht="12.75">
      <c r="A17" s="142" t="s">
        <v>23</v>
      </c>
      <c r="B17" s="46" t="s">
        <v>20</v>
      </c>
      <c r="C17" s="46" t="s">
        <v>24</v>
      </c>
      <c r="D17" s="47">
        <v>55628.72</v>
      </c>
      <c r="E17" s="77">
        <v>31227.48</v>
      </c>
      <c r="F17" s="48">
        <v>4.85</v>
      </c>
      <c r="G17" s="49">
        <v>1999</v>
      </c>
      <c r="H17" s="49">
        <v>2018</v>
      </c>
      <c r="I17" s="50">
        <v>4323.16</v>
      </c>
      <c r="J17" s="43">
        <f>1404.31+1438.37</f>
        <v>2842.68</v>
      </c>
      <c r="K17" s="65">
        <v>3030</v>
      </c>
      <c r="L17" s="42">
        <f t="shared" si="0"/>
        <v>1480.48</v>
      </c>
      <c r="M17" s="66">
        <v>518</v>
      </c>
      <c r="N17" s="141">
        <f t="shared" si="1"/>
        <v>28384.8</v>
      </c>
    </row>
    <row r="18" spans="1:14" ht="13.5" thickBot="1">
      <c r="A18" s="143">
        <v>4271244</v>
      </c>
      <c r="B18" s="82" t="s">
        <v>20</v>
      </c>
      <c r="C18" s="82" t="s">
        <v>25</v>
      </c>
      <c r="D18" s="83">
        <v>69205.22</v>
      </c>
      <c r="E18" s="77">
        <v>31470.7</v>
      </c>
      <c r="F18" s="85">
        <v>6.5</v>
      </c>
      <c r="G18" s="86">
        <v>1996</v>
      </c>
      <c r="H18" s="86">
        <v>2015</v>
      </c>
      <c r="I18" s="89">
        <v>6417.96</v>
      </c>
      <c r="J18" s="157">
        <f>2186.19+2257.24</f>
        <v>4443.43</v>
      </c>
      <c r="K18" s="65"/>
      <c r="L18" s="108">
        <f>I18-J18</f>
        <v>1974.5299999999997</v>
      </c>
      <c r="M18" s="66"/>
      <c r="N18" s="141">
        <f>E18-J18</f>
        <v>27027.27</v>
      </c>
    </row>
    <row r="19" spans="1:14" ht="13.5" thickBot="1">
      <c r="A19" s="145"/>
      <c r="B19" s="98"/>
      <c r="C19" s="98"/>
      <c r="D19" s="99"/>
      <c r="E19" s="110" t="s">
        <v>42</v>
      </c>
      <c r="F19" s="101"/>
      <c r="G19" s="102"/>
      <c r="H19" s="103" t="s">
        <v>43</v>
      </c>
      <c r="I19" s="104">
        <f>SUM(I15:I18)</f>
        <v>21688.07</v>
      </c>
      <c r="J19" s="100">
        <f>SUM(J15:J18)</f>
        <v>13238.300000000001</v>
      </c>
      <c r="K19" s="223"/>
      <c r="L19" s="106">
        <f t="shared" si="0"/>
        <v>8449.769999999999</v>
      </c>
      <c r="M19" s="224"/>
      <c r="N19" s="169">
        <f>SUM(N15:N18)</f>
        <v>137792.73</v>
      </c>
    </row>
    <row r="20" spans="1:14" ht="13.5" thickBot="1">
      <c r="A20" s="149">
        <v>22851</v>
      </c>
      <c r="B20" s="111" t="s">
        <v>26</v>
      </c>
      <c r="C20" s="111" t="s">
        <v>27</v>
      </c>
      <c r="D20" s="112">
        <v>77468.53</v>
      </c>
      <c r="E20" s="113">
        <v>43271.15</v>
      </c>
      <c r="F20" s="114">
        <v>5</v>
      </c>
      <c r="G20" s="115">
        <v>2002</v>
      </c>
      <c r="H20" s="115">
        <v>2016</v>
      </c>
      <c r="I20" s="116">
        <v>7402.53</v>
      </c>
      <c r="J20" s="117">
        <v>5304.46</v>
      </c>
      <c r="K20" s="34">
        <v>3040</v>
      </c>
      <c r="L20" s="118">
        <f>I20-J20</f>
        <v>2098.0699999999997</v>
      </c>
      <c r="M20" s="66">
        <v>645</v>
      </c>
      <c r="N20" s="170">
        <f>E20-J20</f>
        <v>37966.69</v>
      </c>
    </row>
    <row r="21" spans="1:14" ht="13.5" thickBot="1">
      <c r="A21" s="145"/>
      <c r="B21" s="98"/>
      <c r="C21" s="98"/>
      <c r="D21" s="99"/>
      <c r="E21" s="100" t="s">
        <v>42</v>
      </c>
      <c r="F21" s="101"/>
      <c r="G21" s="103"/>
      <c r="H21" s="103" t="s">
        <v>43</v>
      </c>
      <c r="I21" s="104">
        <f>SUM(I20:I20)</f>
        <v>7402.53</v>
      </c>
      <c r="J21" s="100">
        <f>SUM(J20:J20)</f>
        <v>5304.46</v>
      </c>
      <c r="K21" s="224"/>
      <c r="L21" s="106">
        <f t="shared" si="0"/>
        <v>2098.0699999999997</v>
      </c>
      <c r="M21" s="224"/>
      <c r="N21" s="169">
        <f>SUM(N20:N20)</f>
        <v>37966.69</v>
      </c>
    </row>
    <row r="22" spans="1:14" ht="12.75">
      <c r="A22" s="151" t="s">
        <v>28</v>
      </c>
      <c r="B22" s="91" t="s">
        <v>20</v>
      </c>
      <c r="C22" s="91" t="s">
        <v>29</v>
      </c>
      <c r="D22" s="92">
        <v>17559.53</v>
      </c>
      <c r="E22" s="113">
        <v>12013.26</v>
      </c>
      <c r="F22" s="93">
        <v>5.75</v>
      </c>
      <c r="G22" s="94">
        <v>2001</v>
      </c>
      <c r="H22" s="94">
        <v>2020</v>
      </c>
      <c r="I22" s="95">
        <v>1488.78</v>
      </c>
      <c r="J22" s="109">
        <f>399.01+410.48</f>
        <v>809.49</v>
      </c>
      <c r="K22" s="34"/>
      <c r="L22" s="109">
        <f t="shared" si="0"/>
        <v>679.29</v>
      </c>
      <c r="M22" s="35"/>
      <c r="N22" s="150">
        <f t="shared" si="1"/>
        <v>11203.77</v>
      </c>
    </row>
    <row r="23" spans="1:14" ht="12.75">
      <c r="A23" s="140">
        <v>4364549</v>
      </c>
      <c r="B23" s="46" t="s">
        <v>20</v>
      </c>
      <c r="C23" s="46" t="s">
        <v>29</v>
      </c>
      <c r="D23" s="47">
        <v>137377.54</v>
      </c>
      <c r="E23" s="77">
        <v>93986.17</v>
      </c>
      <c r="F23" s="48">
        <v>5.75</v>
      </c>
      <c r="G23" s="49">
        <v>2001</v>
      </c>
      <c r="H23" s="49">
        <v>2020</v>
      </c>
      <c r="I23" s="50">
        <v>11647.56</v>
      </c>
      <c r="J23" s="15">
        <f>3121.68+3211.43</f>
        <v>6333.11</v>
      </c>
      <c r="K23" s="34"/>
      <c r="L23" s="15">
        <f t="shared" si="0"/>
        <v>5314.45</v>
      </c>
      <c r="M23" s="35"/>
      <c r="N23" s="141">
        <f t="shared" si="1"/>
        <v>87653.06</v>
      </c>
    </row>
    <row r="24" spans="1:14" ht="12.75">
      <c r="A24" s="140">
        <v>4297871</v>
      </c>
      <c r="B24" s="46" t="s">
        <v>20</v>
      </c>
      <c r="C24" s="46" t="s">
        <v>29</v>
      </c>
      <c r="D24" s="47">
        <v>129114.22</v>
      </c>
      <c r="E24" s="77">
        <v>65722.72</v>
      </c>
      <c r="F24" s="48">
        <v>6.5</v>
      </c>
      <c r="G24" s="49">
        <v>1997</v>
      </c>
      <c r="H24" s="49">
        <v>2016</v>
      </c>
      <c r="I24" s="50">
        <v>11835.58</v>
      </c>
      <c r="J24" s="15">
        <f>3781.8+3904.71</f>
        <v>7686.51</v>
      </c>
      <c r="K24" s="34"/>
      <c r="L24" s="15">
        <f t="shared" si="0"/>
        <v>4149.07</v>
      </c>
      <c r="M24" s="35"/>
      <c r="N24" s="141">
        <f t="shared" si="1"/>
        <v>58036.21</v>
      </c>
    </row>
    <row r="25" spans="1:14" ht="12.75">
      <c r="A25" s="140">
        <v>4268507</v>
      </c>
      <c r="B25" s="46" t="s">
        <v>20</v>
      </c>
      <c r="C25" s="46" t="s">
        <v>29</v>
      </c>
      <c r="D25" s="47">
        <v>77468.53</v>
      </c>
      <c r="E25" s="77">
        <v>35228.44</v>
      </c>
      <c r="F25" s="48">
        <v>6.5</v>
      </c>
      <c r="G25" s="49">
        <v>1996</v>
      </c>
      <c r="H25" s="49">
        <v>2015</v>
      </c>
      <c r="I25" s="50">
        <v>7184.3</v>
      </c>
      <c r="J25" s="15">
        <f>2447.22+2526.76</f>
        <v>4973.98</v>
      </c>
      <c r="K25" s="34"/>
      <c r="L25" s="15">
        <f t="shared" si="0"/>
        <v>2210.3200000000006</v>
      </c>
      <c r="M25" s="35"/>
      <c r="N25" s="141">
        <f t="shared" si="1"/>
        <v>30254.460000000003</v>
      </c>
    </row>
    <row r="26" spans="1:14" ht="12.75">
      <c r="A26" s="142" t="s">
        <v>30</v>
      </c>
      <c r="B26" s="46" t="s">
        <v>20</v>
      </c>
      <c r="C26" s="46" t="s">
        <v>29</v>
      </c>
      <c r="D26" s="47">
        <v>74741.64</v>
      </c>
      <c r="E26" s="77">
        <v>29306.85</v>
      </c>
      <c r="F26" s="48">
        <v>6.5</v>
      </c>
      <c r="G26" s="49">
        <v>1981</v>
      </c>
      <c r="H26" s="49">
        <v>2015</v>
      </c>
      <c r="I26" s="50">
        <v>5976.68</v>
      </c>
      <c r="J26" s="15">
        <f>2035.87+2102.03</f>
        <v>4137.9</v>
      </c>
      <c r="K26" s="34">
        <v>3030</v>
      </c>
      <c r="L26" s="15">
        <f t="shared" si="0"/>
        <v>1838.7800000000007</v>
      </c>
      <c r="M26" s="35">
        <v>760</v>
      </c>
      <c r="N26" s="141">
        <f t="shared" si="1"/>
        <v>25168.949999999997</v>
      </c>
    </row>
    <row r="27" spans="1:14" ht="12.75">
      <c r="A27" s="140">
        <v>687881</v>
      </c>
      <c r="B27" s="46" t="s">
        <v>20</v>
      </c>
      <c r="C27" s="46" t="s">
        <v>29</v>
      </c>
      <c r="D27" s="47">
        <v>10329.14</v>
      </c>
      <c r="E27" s="77">
        <v>1571.81</v>
      </c>
      <c r="F27" s="48">
        <v>6.5</v>
      </c>
      <c r="G27" s="49">
        <v>1977</v>
      </c>
      <c r="H27" s="49">
        <v>2011</v>
      </c>
      <c r="I27" s="50">
        <v>850.8</v>
      </c>
      <c r="J27" s="15">
        <f>374.31+386.48</f>
        <v>760.79</v>
      </c>
      <c r="K27" s="34"/>
      <c r="L27" s="15">
        <f t="shared" si="0"/>
        <v>90.00999999999999</v>
      </c>
      <c r="M27" s="35"/>
      <c r="N27" s="141">
        <f t="shared" si="1"/>
        <v>811.02</v>
      </c>
    </row>
    <row r="28" spans="1:14" ht="12.75">
      <c r="A28" s="140">
        <v>3033507</v>
      </c>
      <c r="B28" s="46" t="s">
        <v>20</v>
      </c>
      <c r="C28" s="46" t="s">
        <v>29</v>
      </c>
      <c r="D28" s="47">
        <v>23240.56</v>
      </c>
      <c r="E28" s="77">
        <v>6547.5</v>
      </c>
      <c r="F28" s="48">
        <v>6.5</v>
      </c>
      <c r="G28" s="49">
        <v>1979</v>
      </c>
      <c r="H28" s="49">
        <v>2013</v>
      </c>
      <c r="I28" s="50">
        <v>1885.2</v>
      </c>
      <c r="J28" s="15">
        <f>729.81+753.53</f>
        <v>1483.34</v>
      </c>
      <c r="K28" s="34"/>
      <c r="L28" s="15">
        <f t="shared" si="0"/>
        <v>401.8600000000001</v>
      </c>
      <c r="M28" s="35"/>
      <c r="N28" s="141">
        <f t="shared" si="1"/>
        <v>5064.16</v>
      </c>
    </row>
    <row r="29" spans="1:14" ht="13.5" customHeight="1">
      <c r="A29" s="183">
        <v>4464738</v>
      </c>
      <c r="B29" s="46" t="s">
        <v>20</v>
      </c>
      <c r="C29" s="46" t="s">
        <v>29</v>
      </c>
      <c r="D29" s="83">
        <v>160000</v>
      </c>
      <c r="E29" s="77">
        <v>136003.52</v>
      </c>
      <c r="F29" s="85">
        <v>3.4</v>
      </c>
      <c r="G29" s="86">
        <v>2006</v>
      </c>
      <c r="H29" s="86">
        <v>2025</v>
      </c>
      <c r="I29" s="89">
        <v>11091.2</v>
      </c>
      <c r="J29" s="90">
        <f>3233.54+3288.51</f>
        <v>6522.05</v>
      </c>
      <c r="K29" s="34"/>
      <c r="L29" s="90">
        <f t="shared" si="0"/>
        <v>4569.150000000001</v>
      </c>
      <c r="M29" s="35"/>
      <c r="N29" s="141">
        <f t="shared" si="1"/>
        <v>129481.46999999999</v>
      </c>
    </row>
    <row r="30" spans="1:14" ht="12.75">
      <c r="A30" s="183">
        <v>4478664</v>
      </c>
      <c r="B30" s="46" t="s">
        <v>20</v>
      </c>
      <c r="C30" s="46" t="s">
        <v>29</v>
      </c>
      <c r="D30" s="83">
        <v>53000</v>
      </c>
      <c r="E30" s="77">
        <v>45051.17</v>
      </c>
      <c r="F30" s="85">
        <v>3.4</v>
      </c>
      <c r="G30" s="86">
        <v>2006</v>
      </c>
      <c r="H30" s="86">
        <v>2026</v>
      </c>
      <c r="I30" s="89">
        <v>3673.96</v>
      </c>
      <c r="J30" s="90">
        <f>1071.11+1089.32</f>
        <v>2160.43</v>
      </c>
      <c r="K30" s="34"/>
      <c r="L30" s="90">
        <f t="shared" si="0"/>
        <v>1513.5300000000002</v>
      </c>
      <c r="M30" s="35"/>
      <c r="N30" s="141">
        <f t="shared" si="1"/>
        <v>42890.74</v>
      </c>
    </row>
    <row r="31" spans="1:14" ht="12.75">
      <c r="A31" s="222" t="s">
        <v>76</v>
      </c>
      <c r="B31" s="46" t="s">
        <v>20</v>
      </c>
      <c r="C31" s="46" t="s">
        <v>73</v>
      </c>
      <c r="D31" s="83">
        <v>100000</v>
      </c>
      <c r="E31" s="55">
        <v>85426.11</v>
      </c>
      <c r="F31" s="85">
        <v>3.72</v>
      </c>
      <c r="G31" s="86">
        <v>2006</v>
      </c>
      <c r="H31" s="86">
        <v>2025</v>
      </c>
      <c r="I31" s="89">
        <v>7132.84</v>
      </c>
      <c r="J31" s="90">
        <f>1977.49+2014.27</f>
        <v>3991.76</v>
      </c>
      <c r="K31" s="34"/>
      <c r="L31" s="90">
        <f t="shared" si="0"/>
        <v>3141.08</v>
      </c>
      <c r="M31" s="35"/>
      <c r="N31" s="141">
        <f t="shared" si="1"/>
        <v>81434.35</v>
      </c>
    </row>
    <row r="32" spans="1:14" s="249" customFormat="1" ht="12.75">
      <c r="A32" s="221" t="s">
        <v>104</v>
      </c>
      <c r="B32" s="260" t="s">
        <v>20</v>
      </c>
      <c r="C32" s="260" t="s">
        <v>78</v>
      </c>
      <c r="D32" s="261">
        <v>120000</v>
      </c>
      <c r="E32" s="262">
        <v>120000</v>
      </c>
      <c r="F32" s="263">
        <v>4.32</v>
      </c>
      <c r="G32" s="264">
        <v>2010</v>
      </c>
      <c r="H32" s="265">
        <v>2029</v>
      </c>
      <c r="I32" s="266">
        <v>9027.68</v>
      </c>
      <c r="J32" s="267">
        <f>1917.04+1958.52</f>
        <v>3875.56</v>
      </c>
      <c r="K32" s="268"/>
      <c r="L32" s="267">
        <f t="shared" si="0"/>
        <v>5152.120000000001</v>
      </c>
      <c r="M32" s="269"/>
      <c r="N32" s="270">
        <f t="shared" si="1"/>
        <v>116124.44</v>
      </c>
    </row>
    <row r="33" spans="1:14" s="237" customFormat="1" ht="21" thickBot="1">
      <c r="A33" s="238" t="s">
        <v>103</v>
      </c>
      <c r="B33" s="239" t="s">
        <v>20</v>
      </c>
      <c r="C33" s="250" t="s">
        <v>106</v>
      </c>
      <c r="D33" s="240">
        <v>90000</v>
      </c>
      <c r="E33" s="248">
        <v>90000</v>
      </c>
      <c r="F33" s="242">
        <v>4.3</v>
      </c>
      <c r="G33" s="243">
        <v>2010</v>
      </c>
      <c r="H33" s="244">
        <v>2029</v>
      </c>
      <c r="I33" s="245">
        <v>6758.84</v>
      </c>
      <c r="J33" s="246">
        <f>1440.92+1471.96</f>
        <v>2912.88</v>
      </c>
      <c r="K33" s="233"/>
      <c r="L33" s="234">
        <f>I33-J33</f>
        <v>3845.96</v>
      </c>
      <c r="M33" s="235"/>
      <c r="N33" s="236">
        <f>E33-J33</f>
        <v>87087.12</v>
      </c>
    </row>
    <row r="34" spans="1:14" ht="13.5" thickBot="1">
      <c r="A34" s="145"/>
      <c r="B34" s="98"/>
      <c r="C34" s="98"/>
      <c r="D34" s="99"/>
      <c r="E34" s="232" t="s">
        <v>42</v>
      </c>
      <c r="F34" s="101"/>
      <c r="G34" s="102"/>
      <c r="H34" s="103" t="s">
        <v>43</v>
      </c>
      <c r="I34" s="104">
        <f>SUM(I22:I33)</f>
        <v>78553.41999999998</v>
      </c>
      <c r="J34" s="100">
        <f>SUM(J22:J33)</f>
        <v>45647.799999999996</v>
      </c>
      <c r="K34" s="224"/>
      <c r="L34" s="106">
        <f t="shared" si="0"/>
        <v>32905.61999999999</v>
      </c>
      <c r="M34" s="224"/>
      <c r="N34" s="169">
        <f>SUM(N22:N33)</f>
        <v>675209.7499999999</v>
      </c>
    </row>
    <row r="35" spans="1:14" ht="12.75">
      <c r="A35" s="151" t="s">
        <v>32</v>
      </c>
      <c r="B35" s="91" t="s">
        <v>20</v>
      </c>
      <c r="C35" s="91" t="s">
        <v>33</v>
      </c>
      <c r="D35" s="92">
        <v>13180.75</v>
      </c>
      <c r="E35" s="76">
        <v>7378.16</v>
      </c>
      <c r="F35" s="93">
        <v>6.5</v>
      </c>
      <c r="G35" s="94">
        <v>1998</v>
      </c>
      <c r="H35" s="94">
        <v>2017</v>
      </c>
      <c r="I35" s="95">
        <v>1197.32</v>
      </c>
      <c r="J35" s="109">
        <f>358.87+370.54</f>
        <v>729.4100000000001</v>
      </c>
      <c r="K35" s="34"/>
      <c r="L35" s="109">
        <f t="shared" si="0"/>
        <v>467.90999999999985</v>
      </c>
      <c r="M35" s="35"/>
      <c r="N35" s="148">
        <f t="shared" si="1"/>
        <v>6648.75</v>
      </c>
    </row>
    <row r="36" spans="1:14" ht="12.75">
      <c r="A36" s="140">
        <v>4317937</v>
      </c>
      <c r="B36" s="46" t="s">
        <v>20</v>
      </c>
      <c r="C36" s="46" t="s">
        <v>33</v>
      </c>
      <c r="D36" s="47">
        <v>90110.63</v>
      </c>
      <c r="E36" s="76">
        <v>50441.01</v>
      </c>
      <c r="F36" s="48">
        <v>6.5</v>
      </c>
      <c r="G36" s="49">
        <v>1998</v>
      </c>
      <c r="H36" s="49">
        <v>2017</v>
      </c>
      <c r="I36" s="50">
        <v>8185.58</v>
      </c>
      <c r="J36" s="15">
        <f>2453.46+2533.2</f>
        <v>4986.66</v>
      </c>
      <c r="K36" s="34"/>
      <c r="L36" s="15">
        <f t="shared" si="0"/>
        <v>3198.92</v>
      </c>
      <c r="M36" s="35"/>
      <c r="N36" s="141">
        <f t="shared" si="1"/>
        <v>45454.350000000006</v>
      </c>
    </row>
    <row r="37" spans="1:14" ht="12.75">
      <c r="A37" s="142" t="s">
        <v>34</v>
      </c>
      <c r="B37" s="46" t="s">
        <v>20</v>
      </c>
      <c r="C37" s="46" t="s">
        <v>33</v>
      </c>
      <c r="D37" s="47">
        <v>51645.69</v>
      </c>
      <c r="E37" s="76">
        <v>28909.55</v>
      </c>
      <c r="F37" s="48">
        <v>6.5</v>
      </c>
      <c r="G37" s="49">
        <v>1998</v>
      </c>
      <c r="H37" s="49">
        <v>2017</v>
      </c>
      <c r="I37" s="50">
        <v>4691.46</v>
      </c>
      <c r="J37" s="15">
        <f>1406.17+1451.87</f>
        <v>2858.04</v>
      </c>
      <c r="K37" s="34"/>
      <c r="L37" s="15">
        <f t="shared" si="0"/>
        <v>1833.42</v>
      </c>
      <c r="M37" s="35"/>
      <c r="N37" s="141">
        <f t="shared" si="1"/>
        <v>26051.51</v>
      </c>
    </row>
    <row r="38" spans="1:14" ht="12.75">
      <c r="A38" s="140">
        <v>4297902</v>
      </c>
      <c r="B38" s="46" t="s">
        <v>20</v>
      </c>
      <c r="C38" s="46" t="s">
        <v>33</v>
      </c>
      <c r="D38" s="47">
        <v>51645.69</v>
      </c>
      <c r="E38" s="76">
        <v>26289.13</v>
      </c>
      <c r="F38" s="48">
        <v>6.5</v>
      </c>
      <c r="G38" s="49">
        <v>1997</v>
      </c>
      <c r="H38" s="49">
        <v>2016</v>
      </c>
      <c r="I38" s="50">
        <v>4734.24</v>
      </c>
      <c r="J38" s="15">
        <f>1512.72+1561.88</f>
        <v>3074.6000000000004</v>
      </c>
      <c r="K38" s="34">
        <v>3030</v>
      </c>
      <c r="L38" s="15">
        <f t="shared" si="0"/>
        <v>1659.6399999999994</v>
      </c>
      <c r="M38" s="35">
        <v>820</v>
      </c>
      <c r="N38" s="141">
        <f t="shared" si="1"/>
        <v>23214.53</v>
      </c>
    </row>
    <row r="39" spans="1:14" ht="12.75">
      <c r="A39" s="140">
        <v>3078427</v>
      </c>
      <c r="B39" s="46" t="s">
        <v>20</v>
      </c>
      <c r="C39" s="46" t="s">
        <v>33</v>
      </c>
      <c r="D39" s="47">
        <v>144.61</v>
      </c>
      <c r="E39" s="76">
        <v>56.69</v>
      </c>
      <c r="F39" s="48">
        <v>6.5</v>
      </c>
      <c r="G39" s="49">
        <v>1981</v>
      </c>
      <c r="H39" s="49">
        <v>2015</v>
      </c>
      <c r="I39" s="50">
        <v>11.56</v>
      </c>
      <c r="J39" s="15">
        <f>3.94+4.07</f>
        <v>8.01</v>
      </c>
      <c r="K39" s="34"/>
      <c r="L39" s="15">
        <f t="shared" si="0"/>
        <v>3.5500000000000007</v>
      </c>
      <c r="M39" s="35"/>
      <c r="N39" s="141">
        <f t="shared" si="1"/>
        <v>48.68</v>
      </c>
    </row>
    <row r="40" spans="1:14" ht="12.75">
      <c r="A40" s="142" t="s">
        <v>36</v>
      </c>
      <c r="B40" s="46" t="s">
        <v>20</v>
      </c>
      <c r="C40" s="46" t="s">
        <v>33</v>
      </c>
      <c r="D40" s="47">
        <v>3088.81</v>
      </c>
      <c r="E40" s="76">
        <v>678.17</v>
      </c>
      <c r="F40" s="48">
        <v>6.5</v>
      </c>
      <c r="G40" s="49">
        <v>1978</v>
      </c>
      <c r="H40" s="49">
        <v>2012</v>
      </c>
      <c r="I40" s="50">
        <v>252.44</v>
      </c>
      <c r="J40" s="15">
        <f>104.18+107.57</f>
        <v>211.75</v>
      </c>
      <c r="K40" s="34"/>
      <c r="L40" s="15">
        <f t="shared" si="0"/>
        <v>40.69</v>
      </c>
      <c r="M40" s="35"/>
      <c r="N40" s="141">
        <f t="shared" si="1"/>
        <v>466.41999999999996</v>
      </c>
    </row>
    <row r="41" spans="1:14" ht="13.5" thickBot="1">
      <c r="A41" s="183" t="s">
        <v>37</v>
      </c>
      <c r="B41" s="82" t="s">
        <v>20</v>
      </c>
      <c r="C41" s="82" t="s">
        <v>33</v>
      </c>
      <c r="D41" s="83">
        <v>841.65</v>
      </c>
      <c r="E41" s="76">
        <v>128.07</v>
      </c>
      <c r="F41" s="85">
        <v>6.5</v>
      </c>
      <c r="G41" s="86">
        <v>1977</v>
      </c>
      <c r="H41" s="264">
        <v>2011</v>
      </c>
      <c r="I41" s="89">
        <v>69.32</v>
      </c>
      <c r="J41" s="90">
        <f>30.5+31.49</f>
        <v>61.989999999999995</v>
      </c>
      <c r="K41" s="34"/>
      <c r="L41" s="90">
        <f t="shared" si="0"/>
        <v>7.329999999999998</v>
      </c>
      <c r="M41" s="35"/>
      <c r="N41" s="144">
        <f t="shared" si="1"/>
        <v>66.08</v>
      </c>
    </row>
    <row r="42" spans="1:14" ht="13.5" thickBot="1">
      <c r="A42" s="145"/>
      <c r="B42" s="98"/>
      <c r="C42" s="98"/>
      <c r="D42" s="99"/>
      <c r="E42" s="100" t="s">
        <v>42</v>
      </c>
      <c r="F42" s="101"/>
      <c r="G42" s="102"/>
      <c r="H42" s="103" t="s">
        <v>43</v>
      </c>
      <c r="I42" s="104">
        <f>SUM(I35:I41)</f>
        <v>19141.92</v>
      </c>
      <c r="J42" s="100">
        <f>SUM(J35:J41)</f>
        <v>11930.460000000001</v>
      </c>
      <c r="K42" s="224"/>
      <c r="L42" s="106">
        <f t="shared" si="0"/>
        <v>7211.459999999997</v>
      </c>
      <c r="M42" s="224"/>
      <c r="N42" s="169">
        <f>SUM(N35:N41)</f>
        <v>101950.31999999999</v>
      </c>
    </row>
    <row r="43" spans="1:14" ht="12.75">
      <c r="A43" s="147">
        <v>4444717</v>
      </c>
      <c r="B43" s="91" t="s">
        <v>20</v>
      </c>
      <c r="C43" s="91" t="s">
        <v>38</v>
      </c>
      <c r="D43" s="92">
        <v>98000</v>
      </c>
      <c r="E43" s="76">
        <v>77524.64</v>
      </c>
      <c r="F43" s="93">
        <v>4.75</v>
      </c>
      <c r="G43" s="94">
        <v>2004</v>
      </c>
      <c r="H43" s="94">
        <v>2023</v>
      </c>
      <c r="I43" s="95">
        <v>7644.44</v>
      </c>
      <c r="J43" s="109">
        <f>1981.01+2028.05</f>
        <v>4009.06</v>
      </c>
      <c r="K43" s="34"/>
      <c r="L43" s="109">
        <f t="shared" si="0"/>
        <v>3635.3799999999997</v>
      </c>
      <c r="M43" s="35"/>
      <c r="N43" s="148">
        <f t="shared" si="1"/>
        <v>73515.58</v>
      </c>
    </row>
    <row r="44" spans="1:14" ht="12.75">
      <c r="A44" s="140">
        <v>4388738</v>
      </c>
      <c r="B44" s="46" t="s">
        <v>20</v>
      </c>
      <c r="C44" s="46" t="s">
        <v>38</v>
      </c>
      <c r="D44" s="47">
        <v>103291.38</v>
      </c>
      <c r="E44" s="76">
        <v>74646.76</v>
      </c>
      <c r="F44" s="48">
        <v>5.5</v>
      </c>
      <c r="G44" s="49">
        <v>2002</v>
      </c>
      <c r="H44" s="49">
        <v>2021</v>
      </c>
      <c r="I44" s="50">
        <v>8579.7</v>
      </c>
      <c r="J44" s="15">
        <f>2237.06+2298.58</f>
        <v>4535.639999999999</v>
      </c>
      <c r="K44" s="34"/>
      <c r="L44" s="15">
        <f t="shared" si="0"/>
        <v>4044.0600000000013</v>
      </c>
      <c r="M44" s="35"/>
      <c r="N44" s="141">
        <f t="shared" si="1"/>
        <v>70111.12</v>
      </c>
    </row>
    <row r="45" spans="1:14" ht="12.75">
      <c r="A45" s="140">
        <v>4363583</v>
      </c>
      <c r="B45" s="46" t="s">
        <v>20</v>
      </c>
      <c r="C45" s="46" t="s">
        <v>38</v>
      </c>
      <c r="D45" s="47">
        <v>49982.94</v>
      </c>
      <c r="E45" s="76">
        <v>34126.85</v>
      </c>
      <c r="F45" s="48">
        <v>5.75</v>
      </c>
      <c r="G45" s="49">
        <v>2001</v>
      </c>
      <c r="H45" s="49">
        <v>2020</v>
      </c>
      <c r="I45" s="50">
        <v>4229.3</v>
      </c>
      <c r="J45" s="15">
        <f>1133.5+1166.09</f>
        <v>2299.59</v>
      </c>
      <c r="K45" s="34">
        <v>3030</v>
      </c>
      <c r="L45" s="15">
        <f t="shared" si="0"/>
        <v>1929.71</v>
      </c>
      <c r="M45" s="35">
        <v>910</v>
      </c>
      <c r="N45" s="141">
        <f t="shared" si="1"/>
        <v>31827.26</v>
      </c>
    </row>
    <row r="46" spans="1:14" ht="12.75">
      <c r="A46" s="143">
        <v>4317938</v>
      </c>
      <c r="B46" s="82" t="s">
        <v>20</v>
      </c>
      <c r="C46" s="82" t="s">
        <v>38</v>
      </c>
      <c r="D46" s="83">
        <v>50396.44</v>
      </c>
      <c r="E46" s="76">
        <v>28128.55</v>
      </c>
      <c r="F46" s="85">
        <v>6.5</v>
      </c>
      <c r="G46" s="86">
        <v>1998</v>
      </c>
      <c r="H46" s="86">
        <v>2017</v>
      </c>
      <c r="I46" s="89">
        <v>4564.72</v>
      </c>
      <c r="J46" s="90">
        <f>1368.18+1412.64</f>
        <v>2780.82</v>
      </c>
      <c r="K46" s="34" t="s">
        <v>42</v>
      </c>
      <c r="L46" s="90">
        <f>I46-J46</f>
        <v>1783.9</v>
      </c>
      <c r="M46" s="35" t="s">
        <v>42</v>
      </c>
      <c r="N46" s="144">
        <f>E46-J46</f>
        <v>25347.73</v>
      </c>
    </row>
    <row r="47" spans="1:14" ht="13.5" thickBot="1">
      <c r="A47" s="222" t="s">
        <v>94</v>
      </c>
      <c r="B47" s="46" t="s">
        <v>20</v>
      </c>
      <c r="C47" s="46" t="s">
        <v>85</v>
      </c>
      <c r="D47" s="83">
        <v>130000</v>
      </c>
      <c r="E47" s="84">
        <v>125829.2</v>
      </c>
      <c r="F47" s="85">
        <v>4.39</v>
      </c>
      <c r="G47" s="86">
        <v>2008</v>
      </c>
      <c r="H47" s="86">
        <v>2028</v>
      </c>
      <c r="I47" s="89">
        <v>9832.52</v>
      </c>
      <c r="J47" s="90">
        <f>2154.31+2201.6</f>
        <v>4355.91</v>
      </c>
      <c r="K47" s="34"/>
      <c r="L47" s="90">
        <f>I47-J47</f>
        <v>5476.610000000001</v>
      </c>
      <c r="M47" s="35"/>
      <c r="N47" s="141">
        <f>E47-J47</f>
        <v>121473.29</v>
      </c>
    </row>
    <row r="48" spans="1:14" ht="13.5" thickBot="1">
      <c r="A48" s="152"/>
      <c r="B48" s="98"/>
      <c r="C48" s="98"/>
      <c r="D48" s="99"/>
      <c r="E48" s="100" t="s">
        <v>42</v>
      </c>
      <c r="F48" s="101"/>
      <c r="G48" s="102"/>
      <c r="H48" s="103" t="s">
        <v>43</v>
      </c>
      <c r="I48" s="104">
        <f>SUM(I43:I47)</f>
        <v>34850.68</v>
      </c>
      <c r="J48" s="100">
        <f>SUM(J43:J47)</f>
        <v>17981.019999999997</v>
      </c>
      <c r="K48" s="224"/>
      <c r="L48" s="100">
        <f t="shared" si="0"/>
        <v>16869.660000000003</v>
      </c>
      <c r="M48" s="224"/>
      <c r="N48" s="169">
        <f>SUM(N43:N47)</f>
        <v>322274.98000000004</v>
      </c>
    </row>
    <row r="49" spans="1:14" ht="12.75">
      <c r="A49" s="147">
        <v>4284047</v>
      </c>
      <c r="B49" s="91" t="s">
        <v>20</v>
      </c>
      <c r="C49" s="91" t="s">
        <v>39</v>
      </c>
      <c r="D49" s="92">
        <v>77468.53</v>
      </c>
      <c r="E49" s="76">
        <v>39603.96</v>
      </c>
      <c r="F49" s="93">
        <v>6.5</v>
      </c>
      <c r="G49" s="94">
        <v>1997</v>
      </c>
      <c r="H49" s="94">
        <v>2016</v>
      </c>
      <c r="I49" s="95">
        <v>7132.02</v>
      </c>
      <c r="J49" s="109">
        <f>2278.88+2352.95</f>
        <v>4631.83</v>
      </c>
      <c r="K49" s="34">
        <v>3030</v>
      </c>
      <c r="L49" s="109">
        <f>I49-J49</f>
        <v>2500.1900000000005</v>
      </c>
      <c r="M49" s="35">
        <v>930</v>
      </c>
      <c r="N49" s="148">
        <f>E49-J49</f>
        <v>34972.13</v>
      </c>
    </row>
    <row r="50" spans="1:14" s="237" customFormat="1" ht="31.5" thickBot="1">
      <c r="A50" s="238" t="s">
        <v>105</v>
      </c>
      <c r="B50" s="239" t="s">
        <v>20</v>
      </c>
      <c r="C50" s="247" t="s">
        <v>100</v>
      </c>
      <c r="D50" s="240">
        <v>50000</v>
      </c>
      <c r="E50" s="241">
        <v>50000</v>
      </c>
      <c r="F50" s="242">
        <v>4.32</v>
      </c>
      <c r="G50" s="243">
        <v>2010</v>
      </c>
      <c r="H50" s="244">
        <v>2029</v>
      </c>
      <c r="I50" s="245">
        <v>3761.52</v>
      </c>
      <c r="J50" s="246">
        <f>798.76+816.05</f>
        <v>1614.81</v>
      </c>
      <c r="K50" s="233"/>
      <c r="L50" s="234">
        <f>I50-J50</f>
        <v>2146.71</v>
      </c>
      <c r="M50" s="235"/>
      <c r="N50" s="236">
        <f>E50-J50</f>
        <v>48385.19</v>
      </c>
    </row>
    <row r="51" spans="1:14" ht="13.5" thickBot="1">
      <c r="A51" s="145"/>
      <c r="B51" s="98"/>
      <c r="C51" s="98"/>
      <c r="D51" s="99"/>
      <c r="E51" s="100" t="s">
        <v>42</v>
      </c>
      <c r="F51" s="101"/>
      <c r="G51" s="102"/>
      <c r="H51" s="103" t="s">
        <v>43</v>
      </c>
      <c r="I51" s="163">
        <f>SUM(I49:I50)</f>
        <v>10893.54</v>
      </c>
      <c r="J51" s="162">
        <f>SUM(J49:J50)</f>
        <v>6246.639999999999</v>
      </c>
      <c r="K51" s="224"/>
      <c r="L51" s="106">
        <f t="shared" si="0"/>
        <v>4646.9000000000015</v>
      </c>
      <c r="M51" s="224"/>
      <c r="N51" s="169">
        <f>SUM(N49:N50)</f>
        <v>83357.32</v>
      </c>
    </row>
    <row r="52" spans="1:14" ht="13.5" thickBot="1">
      <c r="A52" s="184">
        <v>38497</v>
      </c>
      <c r="B52" s="175" t="s">
        <v>40</v>
      </c>
      <c r="C52" s="175" t="s">
        <v>61</v>
      </c>
      <c r="D52" s="176">
        <v>130481.69</v>
      </c>
      <c r="E52" s="177">
        <v>56592.07</v>
      </c>
      <c r="F52" s="178">
        <v>6</v>
      </c>
      <c r="G52" s="179">
        <v>2002</v>
      </c>
      <c r="H52" s="180">
        <v>2014</v>
      </c>
      <c r="I52" s="89">
        <v>13239.06</v>
      </c>
      <c r="J52" s="90">
        <v>10039.23</v>
      </c>
      <c r="K52" s="34">
        <v>3040</v>
      </c>
      <c r="L52" s="118">
        <f t="shared" si="0"/>
        <v>3199.83</v>
      </c>
      <c r="M52" s="66">
        <v>950</v>
      </c>
      <c r="N52" s="170">
        <f t="shared" si="1"/>
        <v>46552.84</v>
      </c>
    </row>
    <row r="53" spans="1:14" ht="13.5" thickBot="1">
      <c r="A53" s="145"/>
      <c r="B53" s="98"/>
      <c r="C53" s="98"/>
      <c r="D53" s="99"/>
      <c r="E53" s="100" t="s">
        <v>42</v>
      </c>
      <c r="F53" s="101"/>
      <c r="G53" s="102"/>
      <c r="H53" s="103" t="s">
        <v>43</v>
      </c>
      <c r="I53" s="181">
        <f>SUM(I52)</f>
        <v>13239.06</v>
      </c>
      <c r="J53" s="106">
        <f>SUM(J52)</f>
        <v>10039.23</v>
      </c>
      <c r="K53" s="224"/>
      <c r="L53" s="106">
        <f t="shared" si="0"/>
        <v>3199.83</v>
      </c>
      <c r="M53" s="224"/>
      <c r="N53" s="169">
        <f>SUM(N52)</f>
        <v>46552.84</v>
      </c>
    </row>
    <row r="54" spans="1:14" ht="13.5" hidden="1" thickBot="1">
      <c r="A54" s="154"/>
      <c r="B54" s="12"/>
      <c r="C54" s="12"/>
      <c r="D54" s="3"/>
      <c r="E54" s="4"/>
      <c r="F54" s="13"/>
      <c r="G54" s="25"/>
      <c r="H54" s="25"/>
      <c r="I54" s="5"/>
      <c r="J54" s="4"/>
      <c r="K54" s="14"/>
      <c r="L54" s="109">
        <f t="shared" si="0"/>
        <v>0</v>
      </c>
      <c r="M54" s="66"/>
      <c r="N54" s="173">
        <f t="shared" si="1"/>
        <v>0</v>
      </c>
    </row>
    <row r="55" spans="1:14" ht="13.5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5">
        <f t="shared" si="0"/>
        <v>0</v>
      </c>
      <c r="M55" s="27"/>
      <c r="N55" s="173">
        <f t="shared" si="1"/>
        <v>0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73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aca="true" t="shared" si="2" ref="L68:L82">I68-J68</f>
        <v>0</v>
      </c>
      <c r="M68" s="27"/>
      <c r="N68" s="173">
        <f aca="true" t="shared" si="3" ref="N68:N82">E68-J68</f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t="shared" si="2"/>
        <v>0</v>
      </c>
      <c r="M69" s="27"/>
      <c r="N69" s="173">
        <f t="shared" si="3"/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73">
        <f t="shared" si="3"/>
        <v>0</v>
      </c>
    </row>
    <row r="82" spans="1:14" ht="13.5" hidden="1" thickBot="1">
      <c r="A82" s="155"/>
      <c r="B82" s="111"/>
      <c r="C82" s="111"/>
      <c r="D82" s="112"/>
      <c r="E82" s="126"/>
      <c r="F82" s="114"/>
      <c r="G82" s="115"/>
      <c r="H82" s="115"/>
      <c r="I82" s="116"/>
      <c r="J82" s="126"/>
      <c r="K82" s="127"/>
      <c r="L82" s="90">
        <f t="shared" si="2"/>
        <v>0</v>
      </c>
      <c r="M82" s="27"/>
      <c r="N82" s="170">
        <f t="shared" si="3"/>
        <v>0</v>
      </c>
    </row>
    <row r="83" spans="1:14" ht="14.25" thickBot="1" thickTop="1">
      <c r="A83" s="128"/>
      <c r="B83" s="129"/>
      <c r="C83" s="130" t="s">
        <v>8</v>
      </c>
      <c r="D83" s="131">
        <f>SUM(D3:D82)</f>
        <v>3470123.899999999</v>
      </c>
      <c r="E83" s="132">
        <f>SUM(E3:E82)</f>
        <v>2385929.3599999994</v>
      </c>
      <c r="F83" s="133"/>
      <c r="G83" s="133"/>
      <c r="H83" s="133"/>
      <c r="I83" s="134">
        <f>+I14+I19+I21+I34+I42+I48+I51+I53</f>
        <v>285998.05999999994</v>
      </c>
      <c r="J83" s="134">
        <f>+J14+J19+J21+J34+J42+J48+J51+J53</f>
        <v>166662.09</v>
      </c>
      <c r="K83" s="133"/>
      <c r="L83" s="134">
        <f>+L14+L19+L21+L34+L42+L48+L51+L53</f>
        <v>119335.96999999999</v>
      </c>
      <c r="M83" s="135"/>
      <c r="N83" s="136">
        <f>+N14+N19+N21+N34+N42+N48+N51+N53</f>
        <v>2219267.27</v>
      </c>
    </row>
    <row r="84" ht="13.5" thickTop="1"/>
    <row r="86" ht="12.75">
      <c r="A86" s="2" t="s">
        <v>42</v>
      </c>
    </row>
  </sheetData>
  <sheetProtection/>
  <mergeCells count="1">
    <mergeCell ref="A1:N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N84" sqref="N84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00390625" style="2" customWidth="1"/>
    <col min="4" max="5" width="12.00390625" style="2" customWidth="1"/>
    <col min="6" max="8" width="9.140625" style="2" customWidth="1"/>
    <col min="9" max="10" width="10.71093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2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101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95</v>
      </c>
      <c r="F2" s="138" t="s">
        <v>3</v>
      </c>
      <c r="G2" s="138" t="s">
        <v>4</v>
      </c>
      <c r="H2" s="138" t="s">
        <v>5</v>
      </c>
      <c r="I2" s="138" t="s">
        <v>96</v>
      </c>
      <c r="J2" s="138" t="s">
        <v>97</v>
      </c>
      <c r="K2" s="138" t="s">
        <v>6</v>
      </c>
      <c r="L2" s="164" t="s">
        <v>98</v>
      </c>
      <c r="M2" s="138" t="s">
        <v>6</v>
      </c>
      <c r="N2" s="139" t="s">
        <v>99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v>310334.85</v>
      </c>
      <c r="F3" s="48">
        <v>4.8</v>
      </c>
      <c r="G3" s="49">
        <v>2004</v>
      </c>
      <c r="H3" s="49">
        <v>2023</v>
      </c>
      <c r="I3" s="50">
        <v>32365.92</v>
      </c>
      <c r="J3" s="15">
        <f>8734.92+8944.56</f>
        <v>17679.48</v>
      </c>
      <c r="K3" s="34" t="s">
        <v>42</v>
      </c>
      <c r="L3" s="15">
        <f>I3-J3</f>
        <v>14686.439999999999</v>
      </c>
      <c r="M3" s="35" t="s">
        <v>42</v>
      </c>
      <c r="N3" s="141">
        <f>E3-J3</f>
        <v>292655.37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v>104326.13</v>
      </c>
      <c r="F4" s="48">
        <v>5.25</v>
      </c>
      <c r="G4" s="49">
        <v>2002.2021</v>
      </c>
      <c r="H4" s="49">
        <v>2021</v>
      </c>
      <c r="I4" s="50">
        <v>12605.48</v>
      </c>
      <c r="J4" s="15">
        <f>3564.18+3657.74</f>
        <v>7221.92</v>
      </c>
      <c r="K4" s="34"/>
      <c r="L4" s="15">
        <f aca="true" t="shared" si="0" ref="L4:L68">I4-J4</f>
        <v>5383.5599999999995</v>
      </c>
      <c r="M4" s="35"/>
      <c r="N4" s="141">
        <f aca="true" t="shared" si="1" ref="N4:N68">E4-J4</f>
        <v>97104.21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v>65904.53</v>
      </c>
      <c r="F5" s="48">
        <v>5.75</v>
      </c>
      <c r="G5" s="49">
        <v>2001</v>
      </c>
      <c r="H5" s="49">
        <v>2020</v>
      </c>
      <c r="I5" s="50">
        <v>8757.58</v>
      </c>
      <c r="J5" s="15">
        <f>2484.03+2555.45</f>
        <v>5039.48</v>
      </c>
      <c r="K5" s="34"/>
      <c r="L5" s="15">
        <f t="shared" si="0"/>
        <v>3718.1000000000004</v>
      </c>
      <c r="M5" s="35"/>
      <c r="N5" s="141">
        <f t="shared" si="1"/>
        <v>60865.05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v>49428.41</v>
      </c>
      <c r="F6" s="48">
        <v>5.75</v>
      </c>
      <c r="G6" s="49">
        <v>2001</v>
      </c>
      <c r="H6" s="49">
        <v>2020</v>
      </c>
      <c r="I6" s="50">
        <v>6568.18</v>
      </c>
      <c r="J6" s="15">
        <f>1863.02+1916.58</f>
        <v>3779.6</v>
      </c>
      <c r="K6" s="34"/>
      <c r="L6" s="15">
        <f t="shared" si="0"/>
        <v>2788.5800000000004</v>
      </c>
      <c r="M6" s="35"/>
      <c r="N6" s="141">
        <f t="shared" si="1"/>
        <v>45648.810000000005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v>80584.53</v>
      </c>
      <c r="F7" s="48">
        <v>0</v>
      </c>
      <c r="G7" s="49">
        <v>2000</v>
      </c>
      <c r="H7" s="49">
        <v>2019</v>
      </c>
      <c r="I7" s="50">
        <f>13642.28+1000</f>
        <v>14642.28</v>
      </c>
      <c r="J7" s="15">
        <f>4476.92+4476.92</f>
        <v>8953.84</v>
      </c>
      <c r="K7" s="34">
        <v>3030</v>
      </c>
      <c r="L7" s="15">
        <f t="shared" si="0"/>
        <v>5688.4400000000005</v>
      </c>
      <c r="M7" s="35">
        <v>283</v>
      </c>
      <c r="N7" s="141">
        <f t="shared" si="1"/>
        <v>71630.69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v>3126.15</v>
      </c>
      <c r="F8" s="48">
        <v>6.5</v>
      </c>
      <c r="G8" s="49">
        <v>1998</v>
      </c>
      <c r="H8" s="49">
        <v>2017</v>
      </c>
      <c r="I8" s="50">
        <v>562.98</v>
      </c>
      <c r="J8" s="15">
        <f>179.89+185.73</f>
        <v>365.62</v>
      </c>
      <c r="K8" s="34"/>
      <c r="L8" s="15">
        <f t="shared" si="0"/>
        <v>197.36</v>
      </c>
      <c r="M8" s="35"/>
      <c r="N8" s="141">
        <f t="shared" si="1"/>
        <v>2760.53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v>75028.43</v>
      </c>
      <c r="F9" s="48">
        <v>6.5</v>
      </c>
      <c r="G9" s="49">
        <v>1998</v>
      </c>
      <c r="H9" s="49">
        <v>2017</v>
      </c>
      <c r="I9" s="50">
        <v>13511.4</v>
      </c>
      <c r="J9" s="15">
        <f>4317.27+4457.59</f>
        <v>8774.86</v>
      </c>
      <c r="K9" s="34"/>
      <c r="L9" s="15">
        <f t="shared" si="0"/>
        <v>4736.539999999999</v>
      </c>
      <c r="M9" s="35"/>
      <c r="N9" s="141">
        <f t="shared" si="1"/>
        <v>66253.56999999999</v>
      </c>
    </row>
    <row r="10" spans="1:14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v>742.31</v>
      </c>
      <c r="F10" s="48">
        <v>6.5</v>
      </c>
      <c r="G10" s="49">
        <v>1978</v>
      </c>
      <c r="H10" s="49">
        <v>2012</v>
      </c>
      <c r="I10" s="50">
        <v>401.8</v>
      </c>
      <c r="J10" s="15">
        <f>176.78+182.52</f>
        <v>359.3</v>
      </c>
      <c r="K10" s="34"/>
      <c r="L10" s="15">
        <f t="shared" si="0"/>
        <v>42.5</v>
      </c>
      <c r="M10" s="35"/>
      <c r="N10" s="141">
        <f t="shared" si="1"/>
        <v>383.00999999999993</v>
      </c>
    </row>
    <row r="11" spans="1:14" ht="12.75">
      <c r="A11" s="143">
        <v>647568</v>
      </c>
      <c r="B11" s="46" t="s">
        <v>7</v>
      </c>
      <c r="C11" s="46" t="s">
        <v>15</v>
      </c>
      <c r="D11" s="83">
        <v>17636.83</v>
      </c>
      <c r="E11" s="55">
        <v>1384.87</v>
      </c>
      <c r="F11" s="85">
        <v>6.5</v>
      </c>
      <c r="G11" s="86">
        <v>1976</v>
      </c>
      <c r="H11" s="264">
        <v>2011</v>
      </c>
      <c r="I11" s="89">
        <v>1452.72</v>
      </c>
      <c r="J11" s="90">
        <f>681.35+703.52</f>
        <v>1384.87</v>
      </c>
      <c r="K11" s="34"/>
      <c r="L11" s="90">
        <f t="shared" si="0"/>
        <v>67.85000000000014</v>
      </c>
      <c r="M11" s="35"/>
      <c r="N11" s="141">
        <f t="shared" si="1"/>
        <v>0</v>
      </c>
    </row>
    <row r="12" spans="1:14" ht="12.75">
      <c r="A12" s="222" t="s">
        <v>77</v>
      </c>
      <c r="B12" s="82" t="s">
        <v>7</v>
      </c>
      <c r="C12" s="82" t="s">
        <v>72</v>
      </c>
      <c r="D12" s="83">
        <v>80000</v>
      </c>
      <c r="E12" s="84">
        <v>65172.67</v>
      </c>
      <c r="F12" s="85">
        <v>3.72</v>
      </c>
      <c r="G12" s="86">
        <v>2006</v>
      </c>
      <c r="H12" s="86">
        <v>2025</v>
      </c>
      <c r="I12" s="89">
        <v>5716.4</v>
      </c>
      <c r="J12" s="90">
        <f>1639.47+1670.13</f>
        <v>3309.6000000000004</v>
      </c>
      <c r="K12" s="34"/>
      <c r="L12" s="90">
        <f>I12-J12</f>
        <v>2406.7999999999993</v>
      </c>
      <c r="M12" s="35"/>
      <c r="N12" s="141">
        <f>E12-J12</f>
        <v>61863.07</v>
      </c>
    </row>
    <row r="13" spans="1:14" ht="13.5" thickBot="1">
      <c r="A13" s="54" t="s">
        <v>102</v>
      </c>
      <c r="B13" s="46" t="s">
        <v>20</v>
      </c>
      <c r="C13" s="46" t="s">
        <v>92</v>
      </c>
      <c r="D13" s="47">
        <v>60000</v>
      </c>
      <c r="E13" s="77">
        <v>58129.76</v>
      </c>
      <c r="F13" s="48">
        <v>4.65</v>
      </c>
      <c r="G13" s="49">
        <v>2010</v>
      </c>
      <c r="H13" s="49">
        <v>2029</v>
      </c>
      <c r="I13" s="50">
        <v>4644.1</v>
      </c>
      <c r="J13" s="15">
        <f>967.92+990.47</f>
        <v>1958.3899999999999</v>
      </c>
      <c r="K13" s="65"/>
      <c r="L13" s="108">
        <f>I13-J13</f>
        <v>2685.7100000000005</v>
      </c>
      <c r="M13" s="66"/>
      <c r="N13" s="141">
        <f>E13-J13</f>
        <v>56171.37</v>
      </c>
    </row>
    <row r="14" spans="1:14" ht="13.5" thickBot="1">
      <c r="A14" s="145"/>
      <c r="B14" s="98"/>
      <c r="C14" s="98"/>
      <c r="D14" s="99"/>
      <c r="E14" s="162" t="s">
        <v>42</v>
      </c>
      <c r="F14" s="101"/>
      <c r="G14" s="102"/>
      <c r="H14" s="103" t="s">
        <v>43</v>
      </c>
      <c r="I14" s="104">
        <f>SUM(I3:I13)</f>
        <v>101228.84</v>
      </c>
      <c r="J14" s="100">
        <f>SUM(J3:J13)</f>
        <v>58826.960000000014</v>
      </c>
      <c r="K14" s="223"/>
      <c r="L14" s="106">
        <f t="shared" si="0"/>
        <v>42401.87999999998</v>
      </c>
      <c r="M14" s="224"/>
      <c r="N14" s="146">
        <f>SUM(N3:N13)</f>
        <v>755335.6799999999</v>
      </c>
    </row>
    <row r="15" spans="1:14" ht="12.75">
      <c r="A15" s="147">
        <v>4367661</v>
      </c>
      <c r="B15" s="91" t="s">
        <v>20</v>
      </c>
      <c r="C15" s="91" t="s">
        <v>21</v>
      </c>
      <c r="D15" s="92">
        <v>51645.69</v>
      </c>
      <c r="E15" s="77">
        <v>32952.25</v>
      </c>
      <c r="F15" s="93">
        <v>5.75</v>
      </c>
      <c r="G15" s="94">
        <v>2001</v>
      </c>
      <c r="H15" s="94">
        <v>2020</v>
      </c>
      <c r="I15" s="95">
        <v>4378.78</v>
      </c>
      <c r="J15" s="96">
        <f>1242.02+1277.72</f>
        <v>2519.74</v>
      </c>
      <c r="K15" s="65"/>
      <c r="L15" s="97">
        <f t="shared" si="0"/>
        <v>1859.04</v>
      </c>
      <c r="M15" s="66"/>
      <c r="N15" s="168">
        <f t="shared" si="1"/>
        <v>30432.510000000002</v>
      </c>
    </row>
    <row r="16" spans="1:14" ht="12.75">
      <c r="A16" s="140">
        <v>4363580</v>
      </c>
      <c r="B16" s="46" t="s">
        <v>20</v>
      </c>
      <c r="C16" s="46" t="s">
        <v>22</v>
      </c>
      <c r="D16" s="47">
        <v>77468.53</v>
      </c>
      <c r="E16" s="77">
        <v>49428.41</v>
      </c>
      <c r="F16" s="48">
        <v>5.75</v>
      </c>
      <c r="G16" s="49">
        <v>2001</v>
      </c>
      <c r="H16" s="49">
        <v>2020</v>
      </c>
      <c r="I16" s="50">
        <v>6568.17</v>
      </c>
      <c r="J16" s="43">
        <f>1863.02+1916.58</f>
        <v>3779.6</v>
      </c>
      <c r="K16" s="65"/>
      <c r="L16" s="42">
        <f t="shared" si="0"/>
        <v>2788.57</v>
      </c>
      <c r="M16" s="66"/>
      <c r="N16" s="141">
        <f t="shared" si="1"/>
        <v>45648.810000000005</v>
      </c>
    </row>
    <row r="17" spans="1:14" ht="12.75">
      <c r="A17" s="142" t="s">
        <v>23</v>
      </c>
      <c r="B17" s="46" t="s">
        <v>20</v>
      </c>
      <c r="C17" s="46" t="s">
        <v>24</v>
      </c>
      <c r="D17" s="47">
        <v>55628.72</v>
      </c>
      <c r="E17" s="77">
        <v>28384.8</v>
      </c>
      <c r="F17" s="48">
        <v>4.85</v>
      </c>
      <c r="G17" s="49">
        <v>1999</v>
      </c>
      <c r="H17" s="49">
        <v>2018</v>
      </c>
      <c r="I17" s="50">
        <v>4323.16</v>
      </c>
      <c r="J17" s="43">
        <f>1473.25+1508.97</f>
        <v>2982.2200000000003</v>
      </c>
      <c r="K17" s="65">
        <v>3030</v>
      </c>
      <c r="L17" s="42">
        <f t="shared" si="0"/>
        <v>1340.9399999999996</v>
      </c>
      <c r="M17" s="66">
        <v>518</v>
      </c>
      <c r="N17" s="141">
        <f t="shared" si="1"/>
        <v>25402.579999999998</v>
      </c>
    </row>
    <row r="18" spans="1:14" ht="13.5" thickBot="1">
      <c r="A18" s="143">
        <v>4271244</v>
      </c>
      <c r="B18" s="82" t="s">
        <v>20</v>
      </c>
      <c r="C18" s="82" t="s">
        <v>25</v>
      </c>
      <c r="D18" s="83">
        <v>69205.22</v>
      </c>
      <c r="E18" s="77">
        <v>27027.27</v>
      </c>
      <c r="F18" s="85">
        <v>6.5</v>
      </c>
      <c r="G18" s="86">
        <v>1996</v>
      </c>
      <c r="H18" s="86">
        <v>2015</v>
      </c>
      <c r="I18" s="89">
        <v>6417.96</v>
      </c>
      <c r="J18" s="157">
        <f>2330.6+2406.34</f>
        <v>4736.9400000000005</v>
      </c>
      <c r="K18" s="65"/>
      <c r="L18" s="108">
        <f>I18-J18</f>
        <v>1681.0199999999995</v>
      </c>
      <c r="M18" s="66"/>
      <c r="N18" s="141">
        <f>E18-J18</f>
        <v>22290.33</v>
      </c>
    </row>
    <row r="19" spans="1:14" ht="13.5" thickBot="1">
      <c r="A19" s="145"/>
      <c r="B19" s="98"/>
      <c r="C19" s="98"/>
      <c r="D19" s="99"/>
      <c r="E19" s="110" t="s">
        <v>42</v>
      </c>
      <c r="F19" s="101"/>
      <c r="G19" s="102"/>
      <c r="H19" s="103" t="s">
        <v>43</v>
      </c>
      <c r="I19" s="104">
        <f>SUM(I15:I18)</f>
        <v>21688.07</v>
      </c>
      <c r="J19" s="100">
        <f>SUM(J15:J18)</f>
        <v>14018.500000000002</v>
      </c>
      <c r="K19" s="223"/>
      <c r="L19" s="106">
        <f t="shared" si="0"/>
        <v>7669.569999999998</v>
      </c>
      <c r="M19" s="224"/>
      <c r="N19" s="169">
        <f>SUM(N15:N18)</f>
        <v>123774.23000000001</v>
      </c>
    </row>
    <row r="20" spans="1:14" ht="13.5" thickBot="1">
      <c r="A20" s="149">
        <v>22851</v>
      </c>
      <c r="B20" s="111" t="s">
        <v>26</v>
      </c>
      <c r="C20" s="111" t="s">
        <v>27</v>
      </c>
      <c r="D20" s="112">
        <v>77468.53</v>
      </c>
      <c r="E20" s="113">
        <v>37966.59</v>
      </c>
      <c r="F20" s="114">
        <v>5</v>
      </c>
      <c r="G20" s="115">
        <v>2002</v>
      </c>
      <c r="H20" s="115">
        <v>2016</v>
      </c>
      <c r="I20" s="116">
        <v>7402.53</v>
      </c>
      <c r="J20" s="117">
        <v>5572.99</v>
      </c>
      <c r="K20" s="34">
        <v>3040</v>
      </c>
      <c r="L20" s="118">
        <f>I20-J20</f>
        <v>1829.54</v>
      </c>
      <c r="M20" s="66">
        <v>645</v>
      </c>
      <c r="N20" s="170">
        <f>E20-J20</f>
        <v>32393.6</v>
      </c>
    </row>
    <row r="21" spans="1:14" ht="13.5" thickBot="1">
      <c r="A21" s="145"/>
      <c r="B21" s="98"/>
      <c r="C21" s="98"/>
      <c r="D21" s="99"/>
      <c r="E21" s="100" t="s">
        <v>42</v>
      </c>
      <c r="F21" s="101"/>
      <c r="G21" s="103"/>
      <c r="H21" s="103" t="s">
        <v>43</v>
      </c>
      <c r="I21" s="104">
        <f>SUM(I20:I20)</f>
        <v>7402.53</v>
      </c>
      <c r="J21" s="100">
        <f>SUM(J20:J20)</f>
        <v>5572.99</v>
      </c>
      <c r="K21" s="224"/>
      <c r="L21" s="106">
        <f t="shared" si="0"/>
        <v>1829.54</v>
      </c>
      <c r="M21" s="224"/>
      <c r="N21" s="169">
        <f>SUM(N20:N20)</f>
        <v>32393.6</v>
      </c>
    </row>
    <row r="22" spans="1:14" ht="12.75">
      <c r="A22" s="151" t="s">
        <v>28</v>
      </c>
      <c r="B22" s="91" t="s">
        <v>20</v>
      </c>
      <c r="C22" s="91" t="s">
        <v>29</v>
      </c>
      <c r="D22" s="92">
        <v>17559.53</v>
      </c>
      <c r="E22" s="113">
        <v>11203.77</v>
      </c>
      <c r="F22" s="93">
        <v>5.75</v>
      </c>
      <c r="G22" s="94">
        <v>2001</v>
      </c>
      <c r="H22" s="94">
        <v>2020</v>
      </c>
      <c r="I22" s="95">
        <v>1488.78</v>
      </c>
      <c r="J22" s="109">
        <f>422.29+434.43</f>
        <v>856.72</v>
      </c>
      <c r="K22" s="34"/>
      <c r="L22" s="109">
        <f t="shared" si="0"/>
        <v>632.06</v>
      </c>
      <c r="M22" s="35"/>
      <c r="N22" s="150">
        <f t="shared" si="1"/>
        <v>10347.050000000001</v>
      </c>
    </row>
    <row r="23" spans="1:14" ht="12.75">
      <c r="A23" s="140">
        <v>4364549</v>
      </c>
      <c r="B23" s="46" t="s">
        <v>20</v>
      </c>
      <c r="C23" s="46" t="s">
        <v>29</v>
      </c>
      <c r="D23" s="47">
        <v>137377.54</v>
      </c>
      <c r="E23" s="77">
        <v>87653.06</v>
      </c>
      <c r="F23" s="48">
        <v>5.75</v>
      </c>
      <c r="G23" s="49">
        <v>2001</v>
      </c>
      <c r="H23" s="49">
        <v>2020</v>
      </c>
      <c r="I23" s="50">
        <v>11647.56</v>
      </c>
      <c r="J23" s="15">
        <f>3303.76+3398.74</f>
        <v>6702.5</v>
      </c>
      <c r="K23" s="34"/>
      <c r="L23" s="15">
        <f t="shared" si="0"/>
        <v>4945.0599999999995</v>
      </c>
      <c r="M23" s="35"/>
      <c r="N23" s="141">
        <f t="shared" si="1"/>
        <v>80950.56</v>
      </c>
    </row>
    <row r="24" spans="1:14" ht="12.75">
      <c r="A24" s="140">
        <v>4297871</v>
      </c>
      <c r="B24" s="46" t="s">
        <v>20</v>
      </c>
      <c r="C24" s="46" t="s">
        <v>29</v>
      </c>
      <c r="D24" s="47">
        <v>129114.22</v>
      </c>
      <c r="E24" s="77">
        <v>58036.21</v>
      </c>
      <c r="F24" s="48">
        <v>6.5</v>
      </c>
      <c r="G24" s="49">
        <v>1997</v>
      </c>
      <c r="H24" s="49">
        <v>2016</v>
      </c>
      <c r="I24" s="50">
        <v>11835.58</v>
      </c>
      <c r="J24" s="15">
        <f>4031.61+4162.64</f>
        <v>8194.25</v>
      </c>
      <c r="K24" s="34"/>
      <c r="L24" s="15">
        <f t="shared" si="0"/>
        <v>3641.33</v>
      </c>
      <c r="M24" s="35"/>
      <c r="N24" s="141">
        <f t="shared" si="1"/>
        <v>49841.96</v>
      </c>
    </row>
    <row r="25" spans="1:14" ht="12.75">
      <c r="A25" s="140">
        <v>4268507</v>
      </c>
      <c r="B25" s="46" t="s">
        <v>20</v>
      </c>
      <c r="C25" s="46" t="s">
        <v>29</v>
      </c>
      <c r="D25" s="47">
        <v>77468.53</v>
      </c>
      <c r="E25" s="77">
        <v>30254.46</v>
      </c>
      <c r="F25" s="48">
        <v>6.5</v>
      </c>
      <c r="G25" s="49">
        <v>1996</v>
      </c>
      <c r="H25" s="49">
        <v>2015</v>
      </c>
      <c r="I25" s="50">
        <v>7184.3</v>
      </c>
      <c r="J25" s="15">
        <f>2608.88+2693.66</f>
        <v>5302.54</v>
      </c>
      <c r="K25" s="34"/>
      <c r="L25" s="15">
        <f t="shared" si="0"/>
        <v>1881.7600000000002</v>
      </c>
      <c r="M25" s="35"/>
      <c r="N25" s="141">
        <f t="shared" si="1"/>
        <v>24951.92</v>
      </c>
    </row>
    <row r="26" spans="1:14" ht="12.75">
      <c r="A26" s="142" t="s">
        <v>30</v>
      </c>
      <c r="B26" s="46" t="s">
        <v>20</v>
      </c>
      <c r="C26" s="46" t="s">
        <v>29</v>
      </c>
      <c r="D26" s="47">
        <v>74741.64</v>
      </c>
      <c r="E26" s="77">
        <v>25168.95</v>
      </c>
      <c r="F26" s="48">
        <v>6.5</v>
      </c>
      <c r="G26" s="49">
        <v>1981</v>
      </c>
      <c r="H26" s="49">
        <v>2015</v>
      </c>
      <c r="I26" s="50">
        <v>5976.68</v>
      </c>
      <c r="J26" s="15">
        <f>2170.35+2240.89</f>
        <v>4411.24</v>
      </c>
      <c r="K26" s="34">
        <v>3030</v>
      </c>
      <c r="L26" s="15">
        <f t="shared" si="0"/>
        <v>1565.4400000000005</v>
      </c>
      <c r="M26" s="35">
        <v>760</v>
      </c>
      <c r="N26" s="141">
        <f t="shared" si="1"/>
        <v>20757.71</v>
      </c>
    </row>
    <row r="27" spans="1:14" ht="12.75">
      <c r="A27" s="140">
        <v>687881</v>
      </c>
      <c r="B27" s="46" t="s">
        <v>20</v>
      </c>
      <c r="C27" s="46" t="s">
        <v>29</v>
      </c>
      <c r="D27" s="47">
        <v>10329.14</v>
      </c>
      <c r="E27" s="77">
        <v>811.02</v>
      </c>
      <c r="F27" s="48">
        <v>6.5</v>
      </c>
      <c r="G27" s="49">
        <v>1977</v>
      </c>
      <c r="H27" s="251">
        <v>2011</v>
      </c>
      <c r="I27" s="50">
        <v>850.8</v>
      </c>
      <c r="J27" s="15">
        <f>399.04+411.98</f>
        <v>811.02</v>
      </c>
      <c r="K27" s="34"/>
      <c r="L27" s="15">
        <f t="shared" si="0"/>
        <v>39.77999999999997</v>
      </c>
      <c r="M27" s="35"/>
      <c r="N27" s="141">
        <f t="shared" si="1"/>
        <v>0</v>
      </c>
    </row>
    <row r="28" spans="1:14" ht="12.75">
      <c r="A28" s="140">
        <v>3033507</v>
      </c>
      <c r="B28" s="46" t="s">
        <v>20</v>
      </c>
      <c r="C28" s="46" t="s">
        <v>29</v>
      </c>
      <c r="D28" s="47">
        <v>23240.56</v>
      </c>
      <c r="E28" s="77">
        <v>5064.16</v>
      </c>
      <c r="F28" s="48">
        <v>6.5</v>
      </c>
      <c r="G28" s="49">
        <v>1979</v>
      </c>
      <c r="H28" s="49">
        <v>2013</v>
      </c>
      <c r="I28" s="50">
        <v>1885.2</v>
      </c>
      <c r="J28" s="15">
        <f>778.02+803.3</f>
        <v>1581.32</v>
      </c>
      <c r="K28" s="34"/>
      <c r="L28" s="15">
        <f t="shared" si="0"/>
        <v>303.8800000000001</v>
      </c>
      <c r="M28" s="35"/>
      <c r="N28" s="141">
        <f t="shared" si="1"/>
        <v>3482.84</v>
      </c>
    </row>
    <row r="29" spans="1:14" ht="13.5" customHeight="1">
      <c r="A29" s="183">
        <v>4464738</v>
      </c>
      <c r="B29" s="46" t="s">
        <v>20</v>
      </c>
      <c r="C29" s="46" t="s">
        <v>29</v>
      </c>
      <c r="D29" s="83">
        <v>160000</v>
      </c>
      <c r="E29" s="77">
        <v>129481.47</v>
      </c>
      <c r="F29" s="85">
        <v>3.4</v>
      </c>
      <c r="G29" s="86">
        <v>2006</v>
      </c>
      <c r="H29" s="86">
        <v>2025</v>
      </c>
      <c r="I29" s="89">
        <v>11091.2</v>
      </c>
      <c r="J29" s="90">
        <f>3344.41+3401.27</f>
        <v>6745.68</v>
      </c>
      <c r="K29" s="34"/>
      <c r="L29" s="90">
        <f t="shared" si="0"/>
        <v>4345.52</v>
      </c>
      <c r="M29" s="35"/>
      <c r="N29" s="141">
        <f t="shared" si="1"/>
        <v>122735.79000000001</v>
      </c>
    </row>
    <row r="30" spans="1:14" ht="12.75">
      <c r="A30" s="183">
        <v>4478664</v>
      </c>
      <c r="B30" s="46" t="s">
        <v>20</v>
      </c>
      <c r="C30" s="46" t="s">
        <v>29</v>
      </c>
      <c r="D30" s="83">
        <v>53000</v>
      </c>
      <c r="E30" s="77">
        <v>42890.74</v>
      </c>
      <c r="F30" s="85">
        <v>3.4</v>
      </c>
      <c r="G30" s="86">
        <v>2006</v>
      </c>
      <c r="H30" s="86">
        <v>2026</v>
      </c>
      <c r="I30" s="89">
        <v>3673.96</v>
      </c>
      <c r="J30" s="90">
        <f>1107.84+1126.67</f>
        <v>2234.51</v>
      </c>
      <c r="K30" s="34"/>
      <c r="L30" s="90">
        <f t="shared" si="0"/>
        <v>1439.4499999999998</v>
      </c>
      <c r="M30" s="35"/>
      <c r="N30" s="141">
        <f t="shared" si="1"/>
        <v>40656.229999999996</v>
      </c>
    </row>
    <row r="31" spans="1:14" ht="12.75">
      <c r="A31" s="222" t="s">
        <v>76</v>
      </c>
      <c r="B31" s="46" t="s">
        <v>20</v>
      </c>
      <c r="C31" s="46" t="s">
        <v>73</v>
      </c>
      <c r="D31" s="83">
        <v>100000</v>
      </c>
      <c r="E31" s="55">
        <v>81434.35</v>
      </c>
      <c r="F31" s="85">
        <v>3.72</v>
      </c>
      <c r="G31" s="86">
        <v>2006</v>
      </c>
      <c r="H31" s="86">
        <v>2025</v>
      </c>
      <c r="I31" s="89">
        <v>7132.84</v>
      </c>
      <c r="J31" s="90">
        <f>2051.74+2089.9</f>
        <v>4141.639999999999</v>
      </c>
      <c r="K31" s="34"/>
      <c r="L31" s="90">
        <f t="shared" si="0"/>
        <v>2991.2000000000007</v>
      </c>
      <c r="M31" s="35"/>
      <c r="N31" s="141">
        <f t="shared" si="1"/>
        <v>77292.71</v>
      </c>
    </row>
    <row r="32" spans="1:15" s="249" customFormat="1" ht="12.75">
      <c r="A32" s="222" t="s">
        <v>104</v>
      </c>
      <c r="B32" s="46" t="s">
        <v>20</v>
      </c>
      <c r="C32" s="46" t="s">
        <v>78</v>
      </c>
      <c r="D32" s="83">
        <v>120000</v>
      </c>
      <c r="E32" s="55">
        <v>116124.44</v>
      </c>
      <c r="F32" s="85">
        <v>4.17</v>
      </c>
      <c r="G32" s="86">
        <v>2010</v>
      </c>
      <c r="H32" s="86">
        <v>2029</v>
      </c>
      <c r="I32" s="89">
        <v>9027.68</v>
      </c>
      <c r="J32" s="90">
        <f>2000.9+2044.2</f>
        <v>4045.1000000000004</v>
      </c>
      <c r="K32" s="34"/>
      <c r="L32" s="90">
        <f t="shared" si="0"/>
        <v>4982.58</v>
      </c>
      <c r="M32" s="35"/>
      <c r="N32" s="141">
        <f t="shared" si="1"/>
        <v>112079.34</v>
      </c>
      <c r="O32" s="2"/>
    </row>
    <row r="33" spans="1:15" s="249" customFormat="1" ht="21">
      <c r="A33" s="222" t="s">
        <v>103</v>
      </c>
      <c r="B33" s="82" t="s">
        <v>20</v>
      </c>
      <c r="C33" s="271" t="s">
        <v>106</v>
      </c>
      <c r="D33" s="83">
        <v>90000</v>
      </c>
      <c r="E33" s="77">
        <v>87087.12</v>
      </c>
      <c r="F33" s="85">
        <v>4.3</v>
      </c>
      <c r="G33" s="86">
        <v>2010</v>
      </c>
      <c r="H33" s="86">
        <v>2029</v>
      </c>
      <c r="I33" s="89">
        <v>3659.04</v>
      </c>
      <c r="J33" s="157">
        <f>1503.66+1536.05</f>
        <v>3039.71</v>
      </c>
      <c r="K33" s="65"/>
      <c r="L33" s="108">
        <f>I33-J33</f>
        <v>619.3299999999999</v>
      </c>
      <c r="M33" s="66"/>
      <c r="N33" s="141">
        <f>E33-J33</f>
        <v>84047.40999999999</v>
      </c>
      <c r="O33" s="2"/>
    </row>
    <row r="34" spans="1:14" s="249" customFormat="1" ht="21" thickBot="1">
      <c r="A34" s="222" t="s">
        <v>117</v>
      </c>
      <c r="B34" s="82" t="s">
        <v>20</v>
      </c>
      <c r="C34" s="271" t="s">
        <v>108</v>
      </c>
      <c r="D34" s="83">
        <v>152925</v>
      </c>
      <c r="E34" s="77">
        <v>152925</v>
      </c>
      <c r="F34" s="85">
        <v>4.43</v>
      </c>
      <c r="G34" s="86">
        <v>2011</v>
      </c>
      <c r="H34" s="86">
        <v>2029</v>
      </c>
      <c r="I34" s="89">
        <v>11483.74</v>
      </c>
      <c r="J34" s="157">
        <f>2448.63+2501.36</f>
        <v>4949.99</v>
      </c>
      <c r="K34" s="65"/>
      <c r="L34" s="108">
        <f>I34-J34</f>
        <v>6533.75</v>
      </c>
      <c r="M34" s="66"/>
      <c r="N34" s="141">
        <f>E34-J34</f>
        <v>147975.01</v>
      </c>
    </row>
    <row r="35" spans="1:14" ht="13.5" thickBot="1">
      <c r="A35" s="145"/>
      <c r="B35" s="98"/>
      <c r="C35" s="98"/>
      <c r="D35" s="99"/>
      <c r="E35" s="232" t="s">
        <v>42</v>
      </c>
      <c r="F35" s="101"/>
      <c r="G35" s="102"/>
      <c r="H35" s="103" t="s">
        <v>43</v>
      </c>
      <c r="I35" s="104">
        <f>SUM(I22:I34)</f>
        <v>86937.35999999999</v>
      </c>
      <c r="J35" s="100">
        <f>SUM(J22:J34)</f>
        <v>53016.22</v>
      </c>
      <c r="K35" s="224"/>
      <c r="L35" s="106">
        <f t="shared" si="0"/>
        <v>33921.139999999985</v>
      </c>
      <c r="M35" s="224"/>
      <c r="N35" s="169">
        <f>SUM(N22:N34)</f>
        <v>775118.53</v>
      </c>
    </row>
    <row r="36" spans="1:14" ht="12.75">
      <c r="A36" s="151" t="s">
        <v>32</v>
      </c>
      <c r="B36" s="91" t="s">
        <v>20</v>
      </c>
      <c r="C36" s="91" t="s">
        <v>33</v>
      </c>
      <c r="D36" s="92">
        <v>13180.75</v>
      </c>
      <c r="E36" s="76">
        <v>6648.75</v>
      </c>
      <c r="F36" s="93">
        <v>6.5</v>
      </c>
      <c r="G36" s="94">
        <v>1998</v>
      </c>
      <c r="H36" s="94">
        <v>2017</v>
      </c>
      <c r="I36" s="95">
        <v>1197.32</v>
      </c>
      <c r="J36" s="109">
        <f>382.58+395.01</f>
        <v>777.5899999999999</v>
      </c>
      <c r="K36" s="34"/>
      <c r="L36" s="109">
        <f t="shared" si="0"/>
        <v>419.73</v>
      </c>
      <c r="M36" s="35"/>
      <c r="N36" s="148">
        <f t="shared" si="1"/>
        <v>5871.16</v>
      </c>
    </row>
    <row r="37" spans="1:14" ht="12.75">
      <c r="A37" s="140">
        <v>4317937</v>
      </c>
      <c r="B37" s="46" t="s">
        <v>20</v>
      </c>
      <c r="C37" s="46" t="s">
        <v>33</v>
      </c>
      <c r="D37" s="47">
        <v>90110.63</v>
      </c>
      <c r="E37" s="76">
        <v>45454.35</v>
      </c>
      <c r="F37" s="48">
        <v>6.5</v>
      </c>
      <c r="G37" s="49">
        <v>1998</v>
      </c>
      <c r="H37" s="49">
        <v>2017</v>
      </c>
      <c r="I37" s="50">
        <v>8185.58</v>
      </c>
      <c r="J37" s="15">
        <f>2615.52+2700.53</f>
        <v>5316.05</v>
      </c>
      <c r="K37" s="34"/>
      <c r="L37" s="15">
        <f t="shared" si="0"/>
        <v>2869.5299999999997</v>
      </c>
      <c r="M37" s="35"/>
      <c r="N37" s="141">
        <f t="shared" si="1"/>
        <v>40138.299999999996</v>
      </c>
    </row>
    <row r="38" spans="1:14" ht="12.75">
      <c r="A38" s="142" t="s">
        <v>34</v>
      </c>
      <c r="B38" s="46" t="s">
        <v>20</v>
      </c>
      <c r="C38" s="46" t="s">
        <v>33</v>
      </c>
      <c r="D38" s="47">
        <v>51645.69</v>
      </c>
      <c r="E38" s="76">
        <v>26051.51</v>
      </c>
      <c r="F38" s="48">
        <v>6.5</v>
      </c>
      <c r="G38" s="49">
        <v>1998</v>
      </c>
      <c r="H38" s="49">
        <v>2017</v>
      </c>
      <c r="I38" s="50">
        <v>4691.46</v>
      </c>
      <c r="J38" s="15">
        <f>1499.06+1547.78</f>
        <v>3046.84</v>
      </c>
      <c r="K38" s="34"/>
      <c r="L38" s="15">
        <f t="shared" si="0"/>
        <v>1644.62</v>
      </c>
      <c r="M38" s="35"/>
      <c r="N38" s="141">
        <f t="shared" si="1"/>
        <v>23004.67</v>
      </c>
    </row>
    <row r="39" spans="1:14" ht="12.75">
      <c r="A39" s="140">
        <v>4297902</v>
      </c>
      <c r="B39" s="46" t="s">
        <v>20</v>
      </c>
      <c r="C39" s="46" t="s">
        <v>33</v>
      </c>
      <c r="D39" s="47">
        <v>51645.69</v>
      </c>
      <c r="E39" s="76">
        <v>23214.53</v>
      </c>
      <c r="F39" s="48">
        <v>6.5</v>
      </c>
      <c r="G39" s="49">
        <v>1997</v>
      </c>
      <c r="H39" s="49">
        <v>2016</v>
      </c>
      <c r="I39" s="50">
        <v>4734.24</v>
      </c>
      <c r="J39" s="15">
        <f>1612.64+1665.05</f>
        <v>3277.69</v>
      </c>
      <c r="K39" s="34">
        <v>3030</v>
      </c>
      <c r="L39" s="15">
        <f t="shared" si="0"/>
        <v>1456.5499999999997</v>
      </c>
      <c r="M39" s="35">
        <v>820</v>
      </c>
      <c r="N39" s="141">
        <f t="shared" si="1"/>
        <v>19936.84</v>
      </c>
    </row>
    <row r="40" spans="1:14" ht="12.75">
      <c r="A40" s="140">
        <v>3078427</v>
      </c>
      <c r="B40" s="46" t="s">
        <v>20</v>
      </c>
      <c r="C40" s="46" t="s">
        <v>33</v>
      </c>
      <c r="D40" s="47">
        <v>144.61</v>
      </c>
      <c r="E40" s="76">
        <v>48.68</v>
      </c>
      <c r="F40" s="48">
        <v>6.5</v>
      </c>
      <c r="G40" s="49">
        <v>1981</v>
      </c>
      <c r="H40" s="49">
        <v>2015</v>
      </c>
      <c r="I40" s="50">
        <v>11.56</v>
      </c>
      <c r="J40" s="15">
        <f>4.2+4.34</f>
        <v>8.54</v>
      </c>
      <c r="K40" s="34"/>
      <c r="L40" s="15">
        <f t="shared" si="0"/>
        <v>3.0200000000000014</v>
      </c>
      <c r="M40" s="35"/>
      <c r="N40" s="141">
        <f t="shared" si="1"/>
        <v>40.14</v>
      </c>
    </row>
    <row r="41" spans="1:14" ht="12.75">
      <c r="A41" s="142" t="s">
        <v>36</v>
      </c>
      <c r="B41" s="46" t="s">
        <v>20</v>
      </c>
      <c r="C41" s="46" t="s">
        <v>33</v>
      </c>
      <c r="D41" s="47">
        <v>3088.81</v>
      </c>
      <c r="E41" s="76">
        <v>466.42</v>
      </c>
      <c r="F41" s="48">
        <v>6.5</v>
      </c>
      <c r="G41" s="49">
        <v>1978</v>
      </c>
      <c r="H41" s="49">
        <v>2012</v>
      </c>
      <c r="I41" s="50">
        <v>252.44</v>
      </c>
      <c r="J41" s="15">
        <f>111.07+114.68</f>
        <v>225.75</v>
      </c>
      <c r="K41" s="34"/>
      <c r="L41" s="15">
        <f t="shared" si="0"/>
        <v>26.689999999999998</v>
      </c>
      <c r="M41" s="35"/>
      <c r="N41" s="141">
        <f t="shared" si="1"/>
        <v>240.67000000000002</v>
      </c>
    </row>
    <row r="42" spans="1:14" ht="13.5" thickBot="1">
      <c r="A42" s="183" t="s">
        <v>37</v>
      </c>
      <c r="B42" s="82" t="s">
        <v>20</v>
      </c>
      <c r="C42" s="82" t="s">
        <v>33</v>
      </c>
      <c r="D42" s="83">
        <v>841.65</v>
      </c>
      <c r="E42" s="76">
        <v>66.08</v>
      </c>
      <c r="F42" s="85">
        <v>6.5</v>
      </c>
      <c r="G42" s="86">
        <v>1977</v>
      </c>
      <c r="H42" s="264">
        <v>2011</v>
      </c>
      <c r="I42" s="89">
        <v>69.32</v>
      </c>
      <c r="J42" s="90">
        <f>32.51+33.57</f>
        <v>66.08</v>
      </c>
      <c r="K42" s="34"/>
      <c r="L42" s="90">
        <f t="shared" si="0"/>
        <v>3.239999999999995</v>
      </c>
      <c r="M42" s="35"/>
      <c r="N42" s="144">
        <f t="shared" si="1"/>
        <v>0</v>
      </c>
    </row>
    <row r="43" spans="1:14" ht="13.5" thickBot="1">
      <c r="A43" s="145"/>
      <c r="B43" s="98"/>
      <c r="C43" s="98"/>
      <c r="D43" s="99"/>
      <c r="E43" s="100" t="s">
        <v>42</v>
      </c>
      <c r="F43" s="101"/>
      <c r="G43" s="102"/>
      <c r="H43" s="103" t="s">
        <v>43</v>
      </c>
      <c r="I43" s="104">
        <f>SUM(I36:I42)</f>
        <v>19141.92</v>
      </c>
      <c r="J43" s="100">
        <f>SUM(J36:J42)</f>
        <v>12718.54</v>
      </c>
      <c r="K43" s="224"/>
      <c r="L43" s="106">
        <f t="shared" si="0"/>
        <v>6423.379999999997</v>
      </c>
      <c r="M43" s="224"/>
      <c r="N43" s="169">
        <f>SUM(N36:N42)</f>
        <v>89231.77999999998</v>
      </c>
    </row>
    <row r="44" spans="1:14" ht="12.75">
      <c r="A44" s="147">
        <v>4444717</v>
      </c>
      <c r="B44" s="91" t="s">
        <v>20</v>
      </c>
      <c r="C44" s="91" t="s">
        <v>38</v>
      </c>
      <c r="D44" s="92">
        <v>98000</v>
      </c>
      <c r="E44" s="76">
        <v>73515.58</v>
      </c>
      <c r="F44" s="93">
        <v>4.75</v>
      </c>
      <c r="G44" s="94">
        <v>2004</v>
      </c>
      <c r="H44" s="94">
        <v>2023</v>
      </c>
      <c r="I44" s="95">
        <v>7644.44</v>
      </c>
      <c r="J44" s="109">
        <f>2076.22+2125.53</f>
        <v>4201.75</v>
      </c>
      <c r="K44" s="34"/>
      <c r="L44" s="109">
        <f t="shared" si="0"/>
        <v>3442.6899999999996</v>
      </c>
      <c r="M44" s="35"/>
      <c r="N44" s="148">
        <f t="shared" si="1"/>
        <v>69313.83</v>
      </c>
    </row>
    <row r="45" spans="1:14" ht="12.75">
      <c r="A45" s="140">
        <v>4388738</v>
      </c>
      <c r="B45" s="46" t="s">
        <v>20</v>
      </c>
      <c r="C45" s="46" t="s">
        <v>38</v>
      </c>
      <c r="D45" s="47">
        <v>103291.38</v>
      </c>
      <c r="E45" s="76">
        <v>70111.12</v>
      </c>
      <c r="F45" s="48">
        <v>5.5</v>
      </c>
      <c r="G45" s="49">
        <v>2002</v>
      </c>
      <c r="H45" s="49">
        <v>2021</v>
      </c>
      <c r="I45" s="50">
        <v>8579.7</v>
      </c>
      <c r="J45" s="15">
        <f>2361.79+2426.74</f>
        <v>4788.53</v>
      </c>
      <c r="K45" s="34"/>
      <c r="L45" s="15">
        <f t="shared" si="0"/>
        <v>3791.170000000001</v>
      </c>
      <c r="M45" s="35"/>
      <c r="N45" s="141">
        <f t="shared" si="1"/>
        <v>65322.59</v>
      </c>
    </row>
    <row r="46" spans="1:14" ht="12.75">
      <c r="A46" s="140">
        <v>4363583</v>
      </c>
      <c r="B46" s="46" t="s">
        <v>20</v>
      </c>
      <c r="C46" s="46" t="s">
        <v>38</v>
      </c>
      <c r="D46" s="47">
        <v>49982.94</v>
      </c>
      <c r="E46" s="76">
        <v>31827.26</v>
      </c>
      <c r="F46" s="48">
        <v>5.75</v>
      </c>
      <c r="G46" s="49">
        <v>2001</v>
      </c>
      <c r="H46" s="49">
        <v>2020</v>
      </c>
      <c r="I46" s="50">
        <v>4229.3</v>
      </c>
      <c r="J46" s="15">
        <f>1199.61+1234.1</f>
        <v>2433.71</v>
      </c>
      <c r="K46" s="34">
        <v>3030</v>
      </c>
      <c r="L46" s="15">
        <f t="shared" si="0"/>
        <v>1795.5900000000001</v>
      </c>
      <c r="M46" s="35">
        <v>910</v>
      </c>
      <c r="N46" s="141">
        <f t="shared" si="1"/>
        <v>29393.55</v>
      </c>
    </row>
    <row r="47" spans="1:14" ht="12.75">
      <c r="A47" s="143">
        <v>4317938</v>
      </c>
      <c r="B47" s="82" t="s">
        <v>20</v>
      </c>
      <c r="C47" s="82" t="s">
        <v>38</v>
      </c>
      <c r="D47" s="83">
        <v>50396.44</v>
      </c>
      <c r="E47" s="76">
        <v>25347.73</v>
      </c>
      <c r="F47" s="85">
        <v>6.5</v>
      </c>
      <c r="G47" s="86">
        <v>1998</v>
      </c>
      <c r="H47" s="86">
        <v>2017</v>
      </c>
      <c r="I47" s="89">
        <v>4564.72</v>
      </c>
      <c r="J47" s="90">
        <f>1458.55+1505.96</f>
        <v>2964.51</v>
      </c>
      <c r="K47" s="34" t="s">
        <v>42</v>
      </c>
      <c r="L47" s="90">
        <f>I47-J47</f>
        <v>1600.21</v>
      </c>
      <c r="M47" s="35" t="s">
        <v>42</v>
      </c>
      <c r="N47" s="144">
        <f>E47-J47</f>
        <v>22383.22</v>
      </c>
    </row>
    <row r="48" spans="1:14" ht="13.5" thickBot="1">
      <c r="A48" s="222" t="s">
        <v>94</v>
      </c>
      <c r="B48" s="46" t="s">
        <v>20</v>
      </c>
      <c r="C48" s="46" t="s">
        <v>85</v>
      </c>
      <c r="D48" s="83">
        <v>130000</v>
      </c>
      <c r="E48" s="84">
        <v>121473.29</v>
      </c>
      <c r="F48" s="85">
        <v>4.39</v>
      </c>
      <c r="G48" s="86">
        <v>2008</v>
      </c>
      <c r="H48" s="86">
        <v>2028</v>
      </c>
      <c r="I48" s="89">
        <v>9832.52</v>
      </c>
      <c r="J48" s="90">
        <f>2249.92+2299.31</f>
        <v>4549.23</v>
      </c>
      <c r="K48" s="34"/>
      <c r="L48" s="90">
        <f>I48-J48</f>
        <v>5283.290000000001</v>
      </c>
      <c r="M48" s="35"/>
      <c r="N48" s="141">
        <f>E48-J48</f>
        <v>116924.06</v>
      </c>
    </row>
    <row r="49" spans="1:14" ht="13.5" thickBot="1">
      <c r="A49" s="152"/>
      <c r="B49" s="98"/>
      <c r="C49" s="98"/>
      <c r="D49" s="99"/>
      <c r="E49" s="100" t="s">
        <v>42</v>
      </c>
      <c r="F49" s="101"/>
      <c r="G49" s="102"/>
      <c r="H49" s="103" t="s">
        <v>43</v>
      </c>
      <c r="I49" s="104">
        <f>SUM(I44:I48)</f>
        <v>34850.68</v>
      </c>
      <c r="J49" s="100">
        <f>SUM(J44:J48)</f>
        <v>18937.729999999996</v>
      </c>
      <c r="K49" s="224"/>
      <c r="L49" s="100">
        <f t="shared" si="0"/>
        <v>15912.950000000004</v>
      </c>
      <c r="M49" s="224"/>
      <c r="N49" s="169">
        <f>SUM(N44:N48)</f>
        <v>303337.25</v>
      </c>
    </row>
    <row r="50" spans="1:14" ht="12.75">
      <c r="A50" s="147">
        <v>4284047</v>
      </c>
      <c r="B50" s="91" t="s">
        <v>20</v>
      </c>
      <c r="C50" s="91" t="s">
        <v>39</v>
      </c>
      <c r="D50" s="92">
        <v>77468.53</v>
      </c>
      <c r="E50" s="76">
        <v>34972.13</v>
      </c>
      <c r="F50" s="93">
        <v>6.5</v>
      </c>
      <c r="G50" s="94">
        <v>1997</v>
      </c>
      <c r="H50" s="94">
        <v>2016</v>
      </c>
      <c r="I50" s="95">
        <v>7132.02</v>
      </c>
      <c r="J50" s="109">
        <f>2429.42+2508.37</f>
        <v>4937.79</v>
      </c>
      <c r="K50" s="34">
        <v>3030</v>
      </c>
      <c r="L50" s="109">
        <f t="shared" si="0"/>
        <v>2194.2300000000005</v>
      </c>
      <c r="M50" s="35">
        <v>930</v>
      </c>
      <c r="N50" s="148">
        <f>E50-J50</f>
        <v>30034.339999999997</v>
      </c>
    </row>
    <row r="51" spans="1:14" s="237" customFormat="1" ht="31.5" thickBot="1">
      <c r="A51" s="222" t="s">
        <v>105</v>
      </c>
      <c r="B51" s="82" t="s">
        <v>20</v>
      </c>
      <c r="C51" s="272" t="s">
        <v>100</v>
      </c>
      <c r="D51" s="83">
        <v>50000</v>
      </c>
      <c r="E51" s="56">
        <v>48385.19</v>
      </c>
      <c r="F51" s="85">
        <v>4.32</v>
      </c>
      <c r="G51" s="86">
        <v>2010</v>
      </c>
      <c r="H51" s="86">
        <v>2029</v>
      </c>
      <c r="I51" s="89">
        <v>3761.52</v>
      </c>
      <c r="J51" s="157">
        <f>833.71+851.75</f>
        <v>1685.46</v>
      </c>
      <c r="K51" s="65"/>
      <c r="L51" s="108">
        <f>I51-J51</f>
        <v>2076.06</v>
      </c>
      <c r="M51" s="66"/>
      <c r="N51" s="141">
        <f>E51-J51</f>
        <v>46699.73</v>
      </c>
    </row>
    <row r="52" spans="1:14" ht="13.5" thickBot="1">
      <c r="A52" s="145"/>
      <c r="B52" s="98"/>
      <c r="C52" s="98"/>
      <c r="D52" s="99"/>
      <c r="E52" s="100" t="s">
        <v>42</v>
      </c>
      <c r="F52" s="101"/>
      <c r="G52" s="102"/>
      <c r="H52" s="103" t="s">
        <v>43</v>
      </c>
      <c r="I52" s="163">
        <f>SUM(I50:I51)</f>
        <v>10893.54</v>
      </c>
      <c r="J52" s="162">
        <f>SUM(J50:J51)</f>
        <v>6623.25</v>
      </c>
      <c r="K52" s="224"/>
      <c r="L52" s="106">
        <f t="shared" si="0"/>
        <v>4270.290000000001</v>
      </c>
      <c r="M52" s="224"/>
      <c r="N52" s="169">
        <f>SUM(N50:N51)</f>
        <v>76734.07</v>
      </c>
    </row>
    <row r="53" spans="1:14" ht="13.5" thickBot="1">
      <c r="A53" s="184">
        <v>38497</v>
      </c>
      <c r="B53" s="175" t="s">
        <v>40</v>
      </c>
      <c r="C53" s="175" t="s">
        <v>61</v>
      </c>
      <c r="D53" s="176">
        <v>130481.69</v>
      </c>
      <c r="E53" s="177">
        <v>46552.84</v>
      </c>
      <c r="F53" s="178">
        <v>6</v>
      </c>
      <c r="G53" s="179">
        <v>2002</v>
      </c>
      <c r="H53" s="180">
        <v>2014</v>
      </c>
      <c r="I53" s="89">
        <v>13239.06</v>
      </c>
      <c r="J53" s="90">
        <v>10641.58</v>
      </c>
      <c r="K53" s="34">
        <v>3040</v>
      </c>
      <c r="L53" s="118">
        <f t="shared" si="0"/>
        <v>2597.4799999999996</v>
      </c>
      <c r="M53" s="66">
        <v>950</v>
      </c>
      <c r="N53" s="170">
        <f t="shared" si="1"/>
        <v>35911.259999999995</v>
      </c>
    </row>
    <row r="54" spans="1:14" ht="13.5" thickBot="1">
      <c r="A54" s="145"/>
      <c r="B54" s="98"/>
      <c r="C54" s="98"/>
      <c r="D54" s="99"/>
      <c r="E54" s="100" t="s">
        <v>42</v>
      </c>
      <c r="F54" s="101"/>
      <c r="G54" s="102"/>
      <c r="H54" s="103" t="s">
        <v>43</v>
      </c>
      <c r="I54" s="181">
        <f>SUM(I53)</f>
        <v>13239.06</v>
      </c>
      <c r="J54" s="106">
        <f>SUM(J53)</f>
        <v>10641.58</v>
      </c>
      <c r="K54" s="224"/>
      <c r="L54" s="106">
        <f t="shared" si="0"/>
        <v>2597.4799999999996</v>
      </c>
      <c r="M54" s="224"/>
      <c r="N54" s="169">
        <f>SUM(N53)</f>
        <v>35911.259999999995</v>
      </c>
    </row>
    <row r="55" spans="1:14" ht="13.5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09">
        <f t="shared" si="0"/>
        <v>0</v>
      </c>
      <c r="M55" s="66"/>
      <c r="N55" s="173">
        <f t="shared" si="1"/>
        <v>0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73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0"/>
        <v>0</v>
      </c>
      <c r="M68" s="27"/>
      <c r="N68" s="173">
        <f t="shared" si="1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aca="true" t="shared" si="2" ref="L69:L83">I69-J69</f>
        <v>0</v>
      </c>
      <c r="M69" s="27"/>
      <c r="N69" s="173">
        <f aca="true" t="shared" si="3" ref="N69:N83">E69-J69</f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73">
        <f t="shared" si="3"/>
        <v>0</v>
      </c>
    </row>
    <row r="82" spans="1:14" ht="13.5" hidden="1" thickBot="1">
      <c r="A82" s="154"/>
      <c r="B82" s="12"/>
      <c r="C82" s="12"/>
      <c r="D82" s="3"/>
      <c r="E82" s="4"/>
      <c r="F82" s="13"/>
      <c r="G82" s="25"/>
      <c r="H82" s="25"/>
      <c r="I82" s="5"/>
      <c r="J82" s="4"/>
      <c r="K82" s="14"/>
      <c r="L82" s="15">
        <f t="shared" si="2"/>
        <v>0</v>
      </c>
      <c r="M82" s="27"/>
      <c r="N82" s="173">
        <f t="shared" si="3"/>
        <v>0</v>
      </c>
    </row>
    <row r="83" spans="1:14" ht="13.5" hidden="1" thickBot="1">
      <c r="A83" s="155"/>
      <c r="B83" s="111"/>
      <c r="C83" s="111"/>
      <c r="D83" s="112"/>
      <c r="E83" s="126"/>
      <c r="F83" s="114"/>
      <c r="G83" s="115"/>
      <c r="H83" s="115"/>
      <c r="I83" s="116"/>
      <c r="J83" s="126"/>
      <c r="K83" s="127"/>
      <c r="L83" s="90">
        <f t="shared" si="2"/>
        <v>0</v>
      </c>
      <c r="M83" s="27"/>
      <c r="N83" s="170">
        <f t="shared" si="3"/>
        <v>0</v>
      </c>
    </row>
    <row r="84" spans="1:14" ht="14.25" thickBot="1" thickTop="1">
      <c r="A84" s="128"/>
      <c r="B84" s="129"/>
      <c r="C84" s="130" t="s">
        <v>8</v>
      </c>
      <c r="D84" s="131">
        <f>SUM(D3:D83)</f>
        <v>3623048.899999999</v>
      </c>
      <c r="E84" s="132">
        <f>SUM(E3:E83)</f>
        <v>2372192.17</v>
      </c>
      <c r="F84" s="133"/>
      <c r="G84" s="133"/>
      <c r="H84" s="133"/>
      <c r="I84" s="134">
        <f>+I14+I19+I21+I35+I43+I49+I52+I54</f>
        <v>295381.99999999994</v>
      </c>
      <c r="J84" s="134">
        <f>+J14+J19+J21+J35+J43+J49+J52+J54</f>
        <v>180355.77000000005</v>
      </c>
      <c r="K84" s="133"/>
      <c r="L84" s="134">
        <f>+L14+L19+L21+L35+L43+L49+L52+L54</f>
        <v>115026.23</v>
      </c>
      <c r="M84" s="135"/>
      <c r="N84" s="136">
        <f>+N14+N19+N21+N35+N43+N49+N52+N54</f>
        <v>2191836.4</v>
      </c>
    </row>
    <row r="85" ht="13.5" thickTop="1"/>
    <row r="87" ht="12.75">
      <c r="A87" s="2" t="s">
        <v>42</v>
      </c>
    </row>
  </sheetData>
  <sheetProtection/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1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140625" defaultRowHeight="12.75"/>
  <cols>
    <col min="1" max="1" width="10.7109375" style="2" customWidth="1"/>
    <col min="2" max="2" width="11.7109375" style="2" customWidth="1"/>
    <col min="3" max="3" width="21.00390625" style="2" customWidth="1"/>
    <col min="4" max="5" width="12.00390625" style="2" customWidth="1"/>
    <col min="6" max="8" width="9.140625" style="2" customWidth="1"/>
    <col min="9" max="9" width="10.7109375" style="2" customWidth="1"/>
    <col min="10" max="10" width="11.57421875" style="2" customWidth="1"/>
    <col min="11" max="11" width="9.140625" style="2" customWidth="1"/>
    <col min="12" max="12" width="10.7109375" style="23" customWidth="1"/>
    <col min="13" max="13" width="9.140625" style="24" customWidth="1"/>
    <col min="14" max="14" width="16.00390625" style="1" customWidth="1"/>
    <col min="15" max="15" width="2.00390625" style="2" customWidth="1"/>
    <col min="16" max="16384" width="9.140625" style="2" customWidth="1"/>
  </cols>
  <sheetData>
    <row r="1" spans="1:14" s="174" customFormat="1" ht="24.75" customHeight="1" thickBot="1">
      <c r="A1" s="954" t="s">
        <v>111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</row>
    <row r="2" spans="1:14" ht="30.75" thickTop="1">
      <c r="A2" s="137" t="s">
        <v>0</v>
      </c>
      <c r="B2" s="138" t="s">
        <v>1</v>
      </c>
      <c r="C2" s="138" t="s">
        <v>2</v>
      </c>
      <c r="D2" s="138" t="s">
        <v>9</v>
      </c>
      <c r="E2" s="138" t="s">
        <v>112</v>
      </c>
      <c r="F2" s="138" t="s">
        <v>3</v>
      </c>
      <c r="G2" s="138" t="s">
        <v>4</v>
      </c>
      <c r="H2" s="138" t="s">
        <v>5</v>
      </c>
      <c r="I2" s="138" t="s">
        <v>113</v>
      </c>
      <c r="J2" s="138" t="s">
        <v>114</v>
      </c>
      <c r="K2" s="138" t="s">
        <v>6</v>
      </c>
      <c r="L2" s="164" t="s">
        <v>115</v>
      </c>
      <c r="M2" s="138" t="s">
        <v>6</v>
      </c>
      <c r="N2" s="139" t="s">
        <v>116</v>
      </c>
    </row>
    <row r="3" spans="1:14" ht="12.75">
      <c r="A3" s="140">
        <v>4425594</v>
      </c>
      <c r="B3" s="46" t="s">
        <v>7</v>
      </c>
      <c r="C3" s="46" t="s">
        <v>15</v>
      </c>
      <c r="D3" s="47">
        <v>413165</v>
      </c>
      <c r="E3" s="55">
        <v>292655.37</v>
      </c>
      <c r="F3" s="48">
        <v>4.8</v>
      </c>
      <c r="G3" s="49">
        <v>2004</v>
      </c>
      <c r="H3" s="49">
        <v>2023</v>
      </c>
      <c r="I3" s="50">
        <v>32365.92</v>
      </c>
      <c r="J3" s="15">
        <f>9159.23+9379.05</f>
        <v>18538.28</v>
      </c>
      <c r="K3" s="34" t="s">
        <v>42</v>
      </c>
      <c r="L3" s="15">
        <f>I3-J3</f>
        <v>13827.64</v>
      </c>
      <c r="M3" s="35" t="s">
        <v>42</v>
      </c>
      <c r="N3" s="141">
        <f>E3-J3</f>
        <v>274117.08999999997</v>
      </c>
    </row>
    <row r="4" spans="1:14" ht="12.75">
      <c r="A4" s="140">
        <v>44034300</v>
      </c>
      <c r="B4" s="46" t="s">
        <v>7</v>
      </c>
      <c r="C4" s="46" t="s">
        <v>15</v>
      </c>
      <c r="D4" s="47">
        <v>154937.07</v>
      </c>
      <c r="E4" s="55">
        <v>97104.21</v>
      </c>
      <c r="F4" s="48">
        <v>5.25</v>
      </c>
      <c r="G4" s="49">
        <v>2002.2021</v>
      </c>
      <c r="H4" s="49">
        <v>2021</v>
      </c>
      <c r="I4" s="50">
        <v>12605.48</v>
      </c>
      <c r="J4" s="15">
        <f>3753.76+3852.29</f>
        <v>7606.05</v>
      </c>
      <c r="K4" s="34"/>
      <c r="L4" s="15">
        <f aca="true" t="shared" si="0" ref="L4:L68">I4-J4</f>
        <v>4999.429999999999</v>
      </c>
      <c r="M4" s="35"/>
      <c r="N4" s="141">
        <f aca="true" t="shared" si="1" ref="N4:N68">E4-J4</f>
        <v>89498.16</v>
      </c>
    </row>
    <row r="5" spans="1:14" ht="12.75">
      <c r="A5" s="140">
        <v>4370159</v>
      </c>
      <c r="B5" s="46" t="s">
        <v>7</v>
      </c>
      <c r="C5" s="46" t="s">
        <v>15</v>
      </c>
      <c r="D5" s="47">
        <v>103291.38</v>
      </c>
      <c r="E5" s="55">
        <v>60865.05</v>
      </c>
      <c r="F5" s="48">
        <v>5.75</v>
      </c>
      <c r="G5" s="49">
        <v>2001</v>
      </c>
      <c r="H5" s="49">
        <v>2020</v>
      </c>
      <c r="I5" s="50">
        <v>8757.58</v>
      </c>
      <c r="J5" s="15">
        <f>2628.92+2704.5</f>
        <v>5333.42</v>
      </c>
      <c r="K5" s="34"/>
      <c r="L5" s="15">
        <f t="shared" si="0"/>
        <v>3424.16</v>
      </c>
      <c r="M5" s="35"/>
      <c r="N5" s="141">
        <f t="shared" si="1"/>
        <v>55531.630000000005</v>
      </c>
    </row>
    <row r="6" spans="1:14" ht="12.75">
      <c r="A6" s="142" t="s">
        <v>16</v>
      </c>
      <c r="B6" s="46" t="s">
        <v>7</v>
      </c>
      <c r="C6" s="46" t="s">
        <v>15</v>
      </c>
      <c r="D6" s="47">
        <v>77468.53</v>
      </c>
      <c r="E6" s="55">
        <v>45648.81</v>
      </c>
      <c r="F6" s="48">
        <v>5.75</v>
      </c>
      <c r="G6" s="49">
        <v>2001</v>
      </c>
      <c r="H6" s="49">
        <v>2020</v>
      </c>
      <c r="I6" s="50">
        <v>6568.18</v>
      </c>
      <c r="J6" s="15">
        <f>1971.69+2028.37</f>
        <v>4000.06</v>
      </c>
      <c r="K6" s="34"/>
      <c r="L6" s="15">
        <f t="shared" si="0"/>
        <v>2568.1200000000003</v>
      </c>
      <c r="M6" s="35"/>
      <c r="N6" s="141">
        <f t="shared" si="1"/>
        <v>41648.75</v>
      </c>
    </row>
    <row r="7" spans="1:14" ht="12.75">
      <c r="A7" s="140">
        <v>4354048</v>
      </c>
      <c r="B7" s="46" t="s">
        <v>7</v>
      </c>
      <c r="C7" s="46" t="s">
        <v>15</v>
      </c>
      <c r="D7" s="47">
        <v>179245.09</v>
      </c>
      <c r="E7" s="55">
        <v>71630.69</v>
      </c>
      <c r="F7" s="48">
        <v>0</v>
      </c>
      <c r="G7" s="49">
        <v>2000</v>
      </c>
      <c r="H7" s="49">
        <v>2019</v>
      </c>
      <c r="I7" s="50">
        <f>13642.28+1000</f>
        <v>14642.28</v>
      </c>
      <c r="J7" s="15">
        <f>4476.92+4476.92</f>
        <v>8953.84</v>
      </c>
      <c r="K7" s="34">
        <v>3030</v>
      </c>
      <c r="L7" s="15">
        <f t="shared" si="0"/>
        <v>5688.4400000000005</v>
      </c>
      <c r="M7" s="35">
        <v>283</v>
      </c>
      <c r="N7" s="141">
        <f t="shared" si="1"/>
        <v>62676.850000000006</v>
      </c>
    </row>
    <row r="8" spans="1:14" ht="12.75">
      <c r="A8" s="142" t="s">
        <v>17</v>
      </c>
      <c r="B8" s="46" t="s">
        <v>7</v>
      </c>
      <c r="C8" s="46" t="s">
        <v>18</v>
      </c>
      <c r="D8" s="47">
        <v>6197.48</v>
      </c>
      <c r="E8" s="55">
        <v>2760.53</v>
      </c>
      <c r="F8" s="48">
        <v>6.5</v>
      </c>
      <c r="G8" s="49">
        <v>1998</v>
      </c>
      <c r="H8" s="49">
        <v>2017</v>
      </c>
      <c r="I8" s="50">
        <v>562.98</v>
      </c>
      <c r="J8" s="15">
        <f>191.77+198</f>
        <v>389.77</v>
      </c>
      <c r="K8" s="34"/>
      <c r="L8" s="15">
        <f t="shared" si="0"/>
        <v>173.21000000000004</v>
      </c>
      <c r="M8" s="35"/>
      <c r="N8" s="141">
        <f t="shared" si="1"/>
        <v>2370.76</v>
      </c>
    </row>
    <row r="9" spans="1:14" ht="12.75">
      <c r="A9" s="140">
        <v>4317939</v>
      </c>
      <c r="B9" s="46" t="s">
        <v>7</v>
      </c>
      <c r="C9" s="46" t="s">
        <v>18</v>
      </c>
      <c r="D9" s="47">
        <v>148739.59</v>
      </c>
      <c r="E9" s="55">
        <v>66253.57</v>
      </c>
      <c r="F9" s="48">
        <v>6.5</v>
      </c>
      <c r="G9" s="49">
        <v>1998</v>
      </c>
      <c r="H9" s="49">
        <v>2017</v>
      </c>
      <c r="I9" s="50">
        <v>13511.4</v>
      </c>
      <c r="J9" s="15">
        <f>4602.46+4752.04</f>
        <v>9354.5</v>
      </c>
      <c r="K9" s="34"/>
      <c r="L9" s="15">
        <f t="shared" si="0"/>
        <v>4156.9</v>
      </c>
      <c r="M9" s="35"/>
      <c r="N9" s="141">
        <f t="shared" si="1"/>
        <v>56899.07000000001</v>
      </c>
    </row>
    <row r="10" spans="1:29" s="273" customFormat="1" ht="12.75">
      <c r="A10" s="140">
        <v>3020984</v>
      </c>
      <c r="B10" s="46" t="s">
        <v>7</v>
      </c>
      <c r="C10" s="46" t="s">
        <v>15</v>
      </c>
      <c r="D10" s="47">
        <v>4916.27</v>
      </c>
      <c r="E10" s="55">
        <v>383.01</v>
      </c>
      <c r="F10" s="48">
        <v>6.5</v>
      </c>
      <c r="G10" s="49">
        <v>1978</v>
      </c>
      <c r="H10" s="119">
        <v>2012</v>
      </c>
      <c r="I10" s="50">
        <v>401.8</v>
      </c>
      <c r="J10" s="15">
        <v>383.01</v>
      </c>
      <c r="K10" s="34"/>
      <c r="L10" s="15">
        <f t="shared" si="0"/>
        <v>18.79000000000002</v>
      </c>
      <c r="M10" s="35"/>
      <c r="N10" s="141">
        <f t="shared" si="1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14" ht="12.75">
      <c r="A11" s="222" t="s">
        <v>77</v>
      </c>
      <c r="B11" s="82" t="s">
        <v>7</v>
      </c>
      <c r="C11" s="82" t="s">
        <v>72</v>
      </c>
      <c r="D11" s="83">
        <v>80000</v>
      </c>
      <c r="E11" s="84">
        <v>61863.07</v>
      </c>
      <c r="F11" s="85">
        <v>3.72</v>
      </c>
      <c r="G11" s="86">
        <v>2006</v>
      </c>
      <c r="H11" s="86">
        <v>2025</v>
      </c>
      <c r="I11" s="89">
        <v>5716.4</v>
      </c>
      <c r="J11" s="90">
        <f>1701.36+1733.17</f>
        <v>3434.5299999999997</v>
      </c>
      <c r="K11" s="34"/>
      <c r="L11" s="90">
        <f>I11-J11</f>
        <v>2281.87</v>
      </c>
      <c r="M11" s="35"/>
      <c r="N11" s="141">
        <f>E11-J11</f>
        <v>58428.54</v>
      </c>
    </row>
    <row r="12" spans="1:14" s="237" customFormat="1" ht="13.5" thickBot="1">
      <c r="A12" s="54" t="s">
        <v>102</v>
      </c>
      <c r="B12" s="46" t="s">
        <v>20</v>
      </c>
      <c r="C12" s="46" t="s">
        <v>92</v>
      </c>
      <c r="D12" s="47">
        <v>60000</v>
      </c>
      <c r="E12" s="77">
        <v>56171.37</v>
      </c>
      <c r="F12" s="48">
        <v>4.17</v>
      </c>
      <c r="G12" s="49">
        <v>2010</v>
      </c>
      <c r="H12" s="49">
        <v>2029</v>
      </c>
      <c r="I12" s="50">
        <v>4644.1</v>
      </c>
      <c r="J12" s="15">
        <f>1013.54+1037.15</f>
        <v>2050.69</v>
      </c>
      <c r="K12" s="65"/>
      <c r="L12" s="108">
        <f>I12-J12</f>
        <v>2593.4100000000003</v>
      </c>
      <c r="M12" s="66"/>
      <c r="N12" s="141">
        <f>E12-J12</f>
        <v>54120.68</v>
      </c>
    </row>
    <row r="13" spans="1:14" ht="13.5" thickBot="1">
      <c r="A13" s="145"/>
      <c r="B13" s="98"/>
      <c r="C13" s="98"/>
      <c r="D13" s="99"/>
      <c r="E13" s="162" t="s">
        <v>42</v>
      </c>
      <c r="F13" s="101"/>
      <c r="G13" s="102"/>
      <c r="H13" s="103" t="s">
        <v>43</v>
      </c>
      <c r="I13" s="104">
        <f>SUM(I3:I12)</f>
        <v>99776.12</v>
      </c>
      <c r="J13" s="100">
        <f>SUM(J3:J12)</f>
        <v>60044.149999999994</v>
      </c>
      <c r="K13" s="223"/>
      <c r="L13" s="106">
        <f t="shared" si="0"/>
        <v>39731.97</v>
      </c>
      <c r="M13" s="224"/>
      <c r="N13" s="146">
        <f>SUM(N3:N12)</f>
        <v>695291.5300000001</v>
      </c>
    </row>
    <row r="14" spans="1:14" ht="12.75">
      <c r="A14" s="147">
        <v>4367661</v>
      </c>
      <c r="B14" s="91" t="s">
        <v>20</v>
      </c>
      <c r="C14" s="91" t="s">
        <v>21</v>
      </c>
      <c r="D14" s="92">
        <v>51645.69</v>
      </c>
      <c r="E14" s="77">
        <v>30432.51</v>
      </c>
      <c r="F14" s="93">
        <v>5.75</v>
      </c>
      <c r="G14" s="94">
        <v>2001</v>
      </c>
      <c r="H14" s="94">
        <v>2020</v>
      </c>
      <c r="I14" s="95">
        <v>4378.78</v>
      </c>
      <c r="J14" s="96">
        <f>1314.46+1352.25</f>
        <v>2666.71</v>
      </c>
      <c r="K14" s="65"/>
      <c r="L14" s="97">
        <f t="shared" si="0"/>
        <v>1712.0699999999997</v>
      </c>
      <c r="M14" s="66"/>
      <c r="N14" s="168">
        <f t="shared" si="1"/>
        <v>27765.8</v>
      </c>
    </row>
    <row r="15" spans="1:14" ht="12.75">
      <c r="A15" s="140">
        <v>4363580</v>
      </c>
      <c r="B15" s="46" t="s">
        <v>20</v>
      </c>
      <c r="C15" s="46" t="s">
        <v>22</v>
      </c>
      <c r="D15" s="47">
        <v>77468.53</v>
      </c>
      <c r="E15" s="77">
        <v>45648.81</v>
      </c>
      <c r="F15" s="48">
        <v>5.75</v>
      </c>
      <c r="G15" s="49">
        <v>2001</v>
      </c>
      <c r="H15" s="49">
        <v>2020</v>
      </c>
      <c r="I15" s="50">
        <v>6568.17</v>
      </c>
      <c r="J15" s="43">
        <f>1971.69+2028.37</f>
        <v>4000.06</v>
      </c>
      <c r="K15" s="65"/>
      <c r="L15" s="42">
        <f t="shared" si="0"/>
        <v>2568.11</v>
      </c>
      <c r="M15" s="66"/>
      <c r="N15" s="141">
        <f t="shared" si="1"/>
        <v>41648.75</v>
      </c>
    </row>
    <row r="16" spans="1:14" ht="12.75">
      <c r="A16" s="142" t="s">
        <v>23</v>
      </c>
      <c r="B16" s="46" t="s">
        <v>20</v>
      </c>
      <c r="C16" s="46" t="s">
        <v>24</v>
      </c>
      <c r="D16" s="47">
        <v>55628.72</v>
      </c>
      <c r="E16" s="77">
        <v>25402.58</v>
      </c>
      <c r="F16" s="48">
        <v>4.85</v>
      </c>
      <c r="G16" s="49">
        <v>1999</v>
      </c>
      <c r="H16" s="49">
        <v>2018</v>
      </c>
      <c r="I16" s="50">
        <v>4323.16</v>
      </c>
      <c r="J16" s="43">
        <f>1545.57+1583.05</f>
        <v>3128.62</v>
      </c>
      <c r="K16" s="65">
        <v>3030</v>
      </c>
      <c r="L16" s="42">
        <f t="shared" si="0"/>
        <v>1194.54</v>
      </c>
      <c r="M16" s="66">
        <v>518</v>
      </c>
      <c r="N16" s="141">
        <f t="shared" si="1"/>
        <v>22273.960000000003</v>
      </c>
    </row>
    <row r="17" spans="1:14" ht="12.75">
      <c r="A17" s="143">
        <v>4271244</v>
      </c>
      <c r="B17" s="82" t="s">
        <v>20</v>
      </c>
      <c r="C17" s="82" t="s">
        <v>25</v>
      </c>
      <c r="D17" s="83">
        <v>69205.22</v>
      </c>
      <c r="E17" s="77">
        <v>22290.33</v>
      </c>
      <c r="F17" s="85">
        <v>6.5</v>
      </c>
      <c r="G17" s="86">
        <v>1996</v>
      </c>
      <c r="H17" s="86">
        <v>2015</v>
      </c>
      <c r="I17" s="89">
        <v>6417.96</v>
      </c>
      <c r="J17" s="157">
        <f>2484.55+2565.3</f>
        <v>5049.85</v>
      </c>
      <c r="K17" s="65"/>
      <c r="L17" s="108">
        <f>I17-J17</f>
        <v>1368.1099999999997</v>
      </c>
      <c r="M17" s="66"/>
      <c r="N17" s="141">
        <f>E17-J17</f>
        <v>17240.480000000003</v>
      </c>
    </row>
    <row r="18" spans="1:14" s="237" customFormat="1" ht="13.5" thickBot="1">
      <c r="A18" s="143">
        <v>4555239</v>
      </c>
      <c r="B18" s="82" t="s">
        <v>20</v>
      </c>
      <c r="C18" s="82" t="s">
        <v>110</v>
      </c>
      <c r="D18" s="83">
        <v>127500</v>
      </c>
      <c r="E18" s="77">
        <v>127500</v>
      </c>
      <c r="F18" s="85">
        <v>6.51</v>
      </c>
      <c r="G18" s="86">
        <v>2012</v>
      </c>
      <c r="H18" s="86">
        <v>2031</v>
      </c>
      <c r="I18" s="89">
        <v>11495.76</v>
      </c>
      <c r="J18" s="157">
        <v>3241.08</v>
      </c>
      <c r="K18" s="65"/>
      <c r="L18" s="108">
        <f>I18-J18</f>
        <v>8254.68</v>
      </c>
      <c r="M18" s="66"/>
      <c r="N18" s="141">
        <f>E18-J18</f>
        <v>124258.92</v>
      </c>
    </row>
    <row r="19" spans="1:14" ht="13.5" thickBot="1">
      <c r="A19" s="145"/>
      <c r="B19" s="98"/>
      <c r="C19" s="98"/>
      <c r="D19" s="99"/>
      <c r="E19" s="110" t="s">
        <v>42</v>
      </c>
      <c r="F19" s="101"/>
      <c r="G19" s="102"/>
      <c r="H19" s="103" t="s">
        <v>43</v>
      </c>
      <c r="I19" s="104">
        <f>SUM(I14:I18)</f>
        <v>33183.83</v>
      </c>
      <c r="J19" s="100">
        <f>SUM(J14:J18)</f>
        <v>18086.32</v>
      </c>
      <c r="K19" s="223"/>
      <c r="L19" s="106">
        <f t="shared" si="0"/>
        <v>15097.510000000002</v>
      </c>
      <c r="M19" s="224"/>
      <c r="N19" s="169">
        <f>SUM(N14:N18)</f>
        <v>233187.91000000003</v>
      </c>
    </row>
    <row r="20" spans="1:14" ht="12.75">
      <c r="A20" s="149">
        <v>22851</v>
      </c>
      <c r="B20" s="111" t="s">
        <v>26</v>
      </c>
      <c r="C20" s="111" t="s">
        <v>27</v>
      </c>
      <c r="D20" s="112">
        <v>77468.53</v>
      </c>
      <c r="E20" s="113">
        <v>32393.6</v>
      </c>
      <c r="F20" s="114">
        <v>5</v>
      </c>
      <c r="G20" s="115">
        <v>2002</v>
      </c>
      <c r="H20" s="115">
        <v>2016</v>
      </c>
      <c r="I20" s="116">
        <v>7402.53</v>
      </c>
      <c r="J20" s="117">
        <v>5855.13</v>
      </c>
      <c r="K20" s="34">
        <v>3040</v>
      </c>
      <c r="L20" s="118">
        <f>I20-J20</f>
        <v>1547.3999999999996</v>
      </c>
      <c r="M20" s="66">
        <v>645</v>
      </c>
      <c r="N20" s="170">
        <f>E20-J20</f>
        <v>26538.469999999998</v>
      </c>
    </row>
    <row r="21" spans="1:14" s="237" customFormat="1" ht="13.5" thickBot="1">
      <c r="A21" s="149">
        <v>4550239</v>
      </c>
      <c r="B21" s="111" t="s">
        <v>20</v>
      </c>
      <c r="C21" s="111" t="s">
        <v>93</v>
      </c>
      <c r="D21" s="112">
        <v>114950</v>
      </c>
      <c r="E21" s="113">
        <v>114950</v>
      </c>
      <c r="F21" s="114">
        <v>4.93</v>
      </c>
      <c r="G21" s="115">
        <v>2012</v>
      </c>
      <c r="H21" s="115">
        <v>2031</v>
      </c>
      <c r="I21" s="116">
        <f>9111.38+1900</f>
        <v>11011.38</v>
      </c>
      <c r="J21" s="117">
        <v>3476.4</v>
      </c>
      <c r="K21" s="34">
        <v>3030</v>
      </c>
      <c r="L21" s="118">
        <f>I21-J21</f>
        <v>7534.98</v>
      </c>
      <c r="M21" s="66">
        <v>645</v>
      </c>
      <c r="N21" s="170">
        <f>E21-J21</f>
        <v>111473.6</v>
      </c>
    </row>
    <row r="22" spans="1:14" ht="13.5" thickBot="1">
      <c r="A22" s="145"/>
      <c r="B22" s="98"/>
      <c r="C22" s="98"/>
      <c r="D22" s="99"/>
      <c r="E22" s="100" t="s">
        <v>42</v>
      </c>
      <c r="F22" s="101"/>
      <c r="G22" s="103"/>
      <c r="H22" s="103" t="s">
        <v>43</v>
      </c>
      <c r="I22" s="104">
        <f>SUM(I20:I21)</f>
        <v>18413.91</v>
      </c>
      <c r="J22" s="100">
        <f>SUM(J20:J21)</f>
        <v>9331.53</v>
      </c>
      <c r="K22" s="224"/>
      <c r="L22" s="106">
        <f t="shared" si="0"/>
        <v>9082.38</v>
      </c>
      <c r="M22" s="224"/>
      <c r="N22" s="169">
        <f>SUM(N20:N21)</f>
        <v>138012.07</v>
      </c>
    </row>
    <row r="23" spans="1:14" ht="12.75">
      <c r="A23" s="151" t="s">
        <v>28</v>
      </c>
      <c r="B23" s="91" t="s">
        <v>20</v>
      </c>
      <c r="C23" s="91" t="s">
        <v>29</v>
      </c>
      <c r="D23" s="92">
        <v>17559.53</v>
      </c>
      <c r="E23" s="113">
        <v>10347.05</v>
      </c>
      <c r="F23" s="93">
        <v>5.75</v>
      </c>
      <c r="G23" s="94">
        <v>2001</v>
      </c>
      <c r="H23" s="94">
        <v>2020</v>
      </c>
      <c r="I23" s="95">
        <v>1488.78</v>
      </c>
      <c r="J23" s="109">
        <f>446.92+459.77</f>
        <v>906.69</v>
      </c>
      <c r="K23" s="34"/>
      <c r="L23" s="109">
        <f t="shared" si="0"/>
        <v>582.0899999999999</v>
      </c>
      <c r="M23" s="35"/>
      <c r="N23" s="150">
        <f t="shared" si="1"/>
        <v>9440.359999999999</v>
      </c>
    </row>
    <row r="24" spans="1:14" ht="12.75">
      <c r="A24" s="140">
        <v>4364549</v>
      </c>
      <c r="B24" s="46" t="s">
        <v>20</v>
      </c>
      <c r="C24" s="46" t="s">
        <v>29</v>
      </c>
      <c r="D24" s="47">
        <v>137377.54</v>
      </c>
      <c r="E24" s="77">
        <v>80950.56</v>
      </c>
      <c r="F24" s="48">
        <v>5.75</v>
      </c>
      <c r="G24" s="49">
        <v>2001</v>
      </c>
      <c r="H24" s="49">
        <v>2020</v>
      </c>
      <c r="I24" s="50">
        <v>11647.56</v>
      </c>
      <c r="J24" s="15">
        <f>3496.46+3596.98</f>
        <v>7093.4400000000005</v>
      </c>
      <c r="K24" s="34"/>
      <c r="L24" s="15">
        <f t="shared" si="0"/>
        <v>4554.119999999999</v>
      </c>
      <c r="M24" s="35"/>
      <c r="N24" s="141">
        <f t="shared" si="1"/>
        <v>73857.12</v>
      </c>
    </row>
    <row r="25" spans="1:14" ht="12.75">
      <c r="A25" s="140">
        <v>4297871</v>
      </c>
      <c r="B25" s="46" t="s">
        <v>20</v>
      </c>
      <c r="C25" s="46" t="s">
        <v>29</v>
      </c>
      <c r="D25" s="47">
        <v>129114.22</v>
      </c>
      <c r="E25" s="77">
        <v>49841.96</v>
      </c>
      <c r="F25" s="48">
        <v>6.5</v>
      </c>
      <c r="G25" s="49">
        <v>1997</v>
      </c>
      <c r="H25" s="49">
        <v>2016</v>
      </c>
      <c r="I25" s="50">
        <v>11835.58</v>
      </c>
      <c r="J25" s="15">
        <f>4297.93+4437.61</f>
        <v>8735.54</v>
      </c>
      <c r="K25" s="34"/>
      <c r="L25" s="15">
        <f t="shared" si="0"/>
        <v>3100.039999999999</v>
      </c>
      <c r="M25" s="35"/>
      <c r="N25" s="141">
        <f t="shared" si="1"/>
        <v>41106.42</v>
      </c>
    </row>
    <row r="26" spans="1:14" ht="12.75">
      <c r="A26" s="140">
        <v>4268507</v>
      </c>
      <c r="B26" s="46" t="s">
        <v>20</v>
      </c>
      <c r="C26" s="46" t="s">
        <v>29</v>
      </c>
      <c r="D26" s="47">
        <v>77468.53</v>
      </c>
      <c r="E26" s="77">
        <v>24951.92</v>
      </c>
      <c r="F26" s="48">
        <v>6.5</v>
      </c>
      <c r="G26" s="49">
        <v>1996</v>
      </c>
      <c r="H26" s="49">
        <v>2015</v>
      </c>
      <c r="I26" s="50">
        <v>7184.3</v>
      </c>
      <c r="J26" s="15">
        <f>2781.21+2871.6</f>
        <v>5652.8099999999995</v>
      </c>
      <c r="K26" s="34"/>
      <c r="L26" s="15">
        <f t="shared" si="0"/>
        <v>1531.4900000000007</v>
      </c>
      <c r="M26" s="35"/>
      <c r="N26" s="141">
        <f t="shared" si="1"/>
        <v>19299.11</v>
      </c>
    </row>
    <row r="27" spans="1:14" ht="12.75">
      <c r="A27" s="142" t="s">
        <v>30</v>
      </c>
      <c r="B27" s="46" t="s">
        <v>20</v>
      </c>
      <c r="C27" s="46" t="s">
        <v>29</v>
      </c>
      <c r="D27" s="47">
        <v>74741.64</v>
      </c>
      <c r="E27" s="77">
        <v>20757.71</v>
      </c>
      <c r="F27" s="48">
        <v>6.5</v>
      </c>
      <c r="G27" s="49">
        <v>1981</v>
      </c>
      <c r="H27" s="49">
        <v>2015</v>
      </c>
      <c r="I27" s="50">
        <v>5976.68</v>
      </c>
      <c r="J27" s="15">
        <f>2313.71+2388.91</f>
        <v>4702.62</v>
      </c>
      <c r="K27" s="34">
        <v>3030</v>
      </c>
      <c r="L27" s="15">
        <f t="shared" si="0"/>
        <v>1274.0600000000004</v>
      </c>
      <c r="M27" s="35">
        <v>760</v>
      </c>
      <c r="N27" s="141">
        <f t="shared" si="1"/>
        <v>16055.09</v>
      </c>
    </row>
    <row r="28" spans="1:29" s="273" customFormat="1" ht="12.75">
      <c r="A28" s="140">
        <v>3033507</v>
      </c>
      <c r="B28" s="46" t="s">
        <v>20</v>
      </c>
      <c r="C28" s="46" t="s">
        <v>29</v>
      </c>
      <c r="D28" s="47">
        <v>23240.56</v>
      </c>
      <c r="E28" s="77">
        <v>3482.84</v>
      </c>
      <c r="F28" s="48">
        <v>6.5</v>
      </c>
      <c r="G28" s="49">
        <v>1979</v>
      </c>
      <c r="H28" s="49">
        <v>2013</v>
      </c>
      <c r="I28" s="50">
        <v>1885.2</v>
      </c>
      <c r="J28" s="15">
        <v>1685.78</v>
      </c>
      <c r="K28" s="34"/>
      <c r="L28" s="15">
        <f t="shared" si="0"/>
        <v>199.42000000000007</v>
      </c>
      <c r="M28" s="35"/>
      <c r="N28" s="141">
        <f t="shared" si="1"/>
        <v>1797.0600000000002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14" ht="13.5" customHeight="1">
      <c r="A29" s="183">
        <v>4464738</v>
      </c>
      <c r="B29" s="46" t="s">
        <v>20</v>
      </c>
      <c r="C29" s="46" t="s">
        <v>29</v>
      </c>
      <c r="D29" s="83">
        <v>160000</v>
      </c>
      <c r="E29" s="77">
        <v>122735.79</v>
      </c>
      <c r="F29" s="85">
        <v>3.4</v>
      </c>
      <c r="G29" s="86">
        <v>2006</v>
      </c>
      <c r="H29" s="86">
        <v>2025</v>
      </c>
      <c r="I29" s="89">
        <v>11091.2</v>
      </c>
      <c r="J29" s="90">
        <f>3459.09+3517.89</f>
        <v>6976.98</v>
      </c>
      <c r="K29" s="34"/>
      <c r="L29" s="90">
        <f t="shared" si="0"/>
        <v>4114.220000000001</v>
      </c>
      <c r="M29" s="35"/>
      <c r="N29" s="141">
        <f t="shared" si="1"/>
        <v>115758.81</v>
      </c>
    </row>
    <row r="30" spans="1:14" ht="12.75">
      <c r="A30" s="183">
        <v>4478664</v>
      </c>
      <c r="B30" s="46" t="s">
        <v>20</v>
      </c>
      <c r="C30" s="46" t="s">
        <v>29</v>
      </c>
      <c r="D30" s="83">
        <v>53000</v>
      </c>
      <c r="E30" s="77">
        <v>40656.23</v>
      </c>
      <c r="F30" s="85">
        <v>3.4</v>
      </c>
      <c r="G30" s="86">
        <v>2006</v>
      </c>
      <c r="H30" s="86">
        <v>2026</v>
      </c>
      <c r="I30" s="89">
        <v>3673.96</v>
      </c>
      <c r="J30" s="90">
        <f>1145.82+1165.3</f>
        <v>2311.12</v>
      </c>
      <c r="K30" s="34"/>
      <c r="L30" s="90">
        <f t="shared" si="0"/>
        <v>1362.8400000000001</v>
      </c>
      <c r="M30" s="35"/>
      <c r="N30" s="141">
        <f t="shared" si="1"/>
        <v>38345.11</v>
      </c>
    </row>
    <row r="31" spans="1:14" ht="12.75">
      <c r="A31" s="222" t="s">
        <v>76</v>
      </c>
      <c r="B31" s="46" t="s">
        <v>20</v>
      </c>
      <c r="C31" s="46" t="s">
        <v>73</v>
      </c>
      <c r="D31" s="83">
        <v>100000</v>
      </c>
      <c r="E31" s="55">
        <v>77292.71</v>
      </c>
      <c r="F31" s="85">
        <v>3.72</v>
      </c>
      <c r="G31" s="86">
        <v>2006</v>
      </c>
      <c r="H31" s="86">
        <v>2025</v>
      </c>
      <c r="I31" s="89">
        <v>7132.84</v>
      </c>
      <c r="J31" s="90">
        <f>2128.77+2168.37</f>
        <v>4297.139999999999</v>
      </c>
      <c r="K31" s="34"/>
      <c r="L31" s="90">
        <f t="shared" si="0"/>
        <v>2835.7000000000007</v>
      </c>
      <c r="M31" s="35"/>
      <c r="N31" s="141">
        <f t="shared" si="1"/>
        <v>72995.57</v>
      </c>
    </row>
    <row r="32" spans="1:15" s="249" customFormat="1" ht="12.75">
      <c r="A32" s="222" t="s">
        <v>104</v>
      </c>
      <c r="B32" s="46" t="s">
        <v>20</v>
      </c>
      <c r="C32" s="46" t="s">
        <v>78</v>
      </c>
      <c r="D32" s="83">
        <v>120000</v>
      </c>
      <c r="E32" s="55">
        <v>112079.34</v>
      </c>
      <c r="F32" s="85">
        <v>4.32</v>
      </c>
      <c r="G32" s="86">
        <v>2010</v>
      </c>
      <c r="H32" s="86">
        <v>2029</v>
      </c>
      <c r="I32" s="89">
        <v>9027.68</v>
      </c>
      <c r="J32" s="90">
        <f>2088.44+2133.63</f>
        <v>4222.07</v>
      </c>
      <c r="K32" s="34"/>
      <c r="L32" s="90">
        <f t="shared" si="0"/>
        <v>4805.610000000001</v>
      </c>
      <c r="M32" s="35"/>
      <c r="N32" s="141">
        <f t="shared" si="1"/>
        <v>107857.26999999999</v>
      </c>
      <c r="O32" s="2"/>
    </row>
    <row r="33" spans="1:15" s="249" customFormat="1" ht="21">
      <c r="A33" s="222" t="s">
        <v>103</v>
      </c>
      <c r="B33" s="82" t="s">
        <v>20</v>
      </c>
      <c r="C33" s="271" t="s">
        <v>107</v>
      </c>
      <c r="D33" s="83">
        <v>90000</v>
      </c>
      <c r="E33" s="77">
        <v>84047.41</v>
      </c>
      <c r="F33" s="85">
        <v>4.3</v>
      </c>
      <c r="G33" s="86">
        <v>2010</v>
      </c>
      <c r="H33" s="86">
        <v>2029</v>
      </c>
      <c r="I33" s="89">
        <v>6759.04</v>
      </c>
      <c r="J33" s="157">
        <f>1569.14+1602.94</f>
        <v>3172.08</v>
      </c>
      <c r="K33" s="65"/>
      <c r="L33" s="108">
        <f>I33-J33</f>
        <v>3586.96</v>
      </c>
      <c r="M33" s="66"/>
      <c r="N33" s="141">
        <f>E33-J33</f>
        <v>80875.33</v>
      </c>
      <c r="O33" s="2"/>
    </row>
    <row r="34" spans="1:14" s="249" customFormat="1" ht="21">
      <c r="A34" s="222" t="s">
        <v>117</v>
      </c>
      <c r="B34" s="82" t="s">
        <v>20</v>
      </c>
      <c r="C34" s="272" t="s">
        <v>108</v>
      </c>
      <c r="D34" s="83">
        <v>152925</v>
      </c>
      <c r="E34" s="84">
        <v>147975.01</v>
      </c>
      <c r="F34" s="85">
        <v>4.43</v>
      </c>
      <c r="G34" s="86">
        <v>2011</v>
      </c>
      <c r="H34" s="86">
        <v>2029</v>
      </c>
      <c r="I34" s="89">
        <v>11483.74</v>
      </c>
      <c r="J34" s="157">
        <v>5165.49</v>
      </c>
      <c r="K34" s="65"/>
      <c r="L34" s="108">
        <f>I34-J34</f>
        <v>6318.25</v>
      </c>
      <c r="M34" s="66"/>
      <c r="N34" s="144">
        <f>E34-J34</f>
        <v>142809.52000000002</v>
      </c>
    </row>
    <row r="35" spans="1:14" s="237" customFormat="1" ht="13.5" thickBot="1">
      <c r="A35" s="285">
        <v>4555218</v>
      </c>
      <c r="B35" s="286" t="s">
        <v>20</v>
      </c>
      <c r="C35" s="286" t="s">
        <v>109</v>
      </c>
      <c r="D35" s="287">
        <v>67572.27</v>
      </c>
      <c r="E35" s="288">
        <v>67572.27</v>
      </c>
      <c r="F35" s="289">
        <v>6.51</v>
      </c>
      <c r="G35" s="290">
        <v>2012</v>
      </c>
      <c r="H35" s="290">
        <v>2031</v>
      </c>
      <c r="I35" s="291">
        <v>6092.5</v>
      </c>
      <c r="J35" s="292">
        <v>1717.71</v>
      </c>
      <c r="K35" s="293"/>
      <c r="L35" s="292">
        <f>I35-J35</f>
        <v>4374.79</v>
      </c>
      <c r="M35" s="294"/>
      <c r="N35" s="288">
        <f>E35-J35</f>
        <v>65854.56</v>
      </c>
    </row>
    <row r="36" spans="1:14" ht="13.5" thickBot="1">
      <c r="A36" s="274"/>
      <c r="B36" s="275"/>
      <c r="C36" s="275"/>
      <c r="D36" s="276"/>
      <c r="E36" s="232" t="s">
        <v>42</v>
      </c>
      <c r="F36" s="277"/>
      <c r="G36" s="278"/>
      <c r="H36" s="279" t="s">
        <v>43</v>
      </c>
      <c r="I36" s="280">
        <f>SUM(I23:I35)</f>
        <v>95279.06</v>
      </c>
      <c r="J36" s="281">
        <f>SUM(J23:J35)</f>
        <v>56639.47</v>
      </c>
      <c r="K36" s="282"/>
      <c r="L36" s="283">
        <f t="shared" si="0"/>
        <v>38639.59</v>
      </c>
      <c r="M36" s="282"/>
      <c r="N36" s="284">
        <f>SUM(N23:N35)</f>
        <v>786051.3299999998</v>
      </c>
    </row>
    <row r="37" spans="1:14" ht="12.75">
      <c r="A37" s="151" t="s">
        <v>32</v>
      </c>
      <c r="B37" s="91" t="s">
        <v>20</v>
      </c>
      <c r="C37" s="91" t="s">
        <v>33</v>
      </c>
      <c r="D37" s="92">
        <v>13180.75</v>
      </c>
      <c r="E37" s="76">
        <v>5871.16</v>
      </c>
      <c r="F37" s="93">
        <v>6.5</v>
      </c>
      <c r="G37" s="94">
        <v>1998</v>
      </c>
      <c r="H37" s="94">
        <v>2017</v>
      </c>
      <c r="I37" s="95">
        <v>1197.32</v>
      </c>
      <c r="J37" s="109">
        <f>407.85+421.11</f>
        <v>828.96</v>
      </c>
      <c r="K37" s="34"/>
      <c r="L37" s="109">
        <f t="shared" si="0"/>
        <v>368.3599999999999</v>
      </c>
      <c r="M37" s="35"/>
      <c r="N37" s="148">
        <f t="shared" si="1"/>
        <v>5042.2</v>
      </c>
    </row>
    <row r="38" spans="1:14" ht="12.75">
      <c r="A38" s="140">
        <v>4317937</v>
      </c>
      <c r="B38" s="46" t="s">
        <v>20</v>
      </c>
      <c r="C38" s="46" t="s">
        <v>33</v>
      </c>
      <c r="D38" s="47">
        <v>90110.63</v>
      </c>
      <c r="E38" s="76">
        <v>40138.3</v>
      </c>
      <c r="F38" s="48">
        <v>6.5</v>
      </c>
      <c r="G38" s="49">
        <v>1998</v>
      </c>
      <c r="H38" s="49">
        <v>2017</v>
      </c>
      <c r="I38" s="50">
        <v>8185.58</v>
      </c>
      <c r="J38" s="15">
        <f>2788.3+2878.92</f>
        <v>5667.22</v>
      </c>
      <c r="K38" s="34"/>
      <c r="L38" s="15">
        <f t="shared" si="0"/>
        <v>2518.3599999999997</v>
      </c>
      <c r="M38" s="35"/>
      <c r="N38" s="141">
        <f t="shared" si="1"/>
        <v>34471.08</v>
      </c>
    </row>
    <row r="39" spans="1:14" ht="12.75">
      <c r="A39" s="142" t="s">
        <v>34</v>
      </c>
      <c r="B39" s="46" t="s">
        <v>20</v>
      </c>
      <c r="C39" s="46" t="s">
        <v>33</v>
      </c>
      <c r="D39" s="47">
        <v>51645.69</v>
      </c>
      <c r="E39" s="76">
        <v>23004.67</v>
      </c>
      <c r="F39" s="48">
        <v>6.5</v>
      </c>
      <c r="G39" s="49">
        <v>1998</v>
      </c>
      <c r="H39" s="49">
        <v>2017</v>
      </c>
      <c r="I39" s="50">
        <v>4691.46</v>
      </c>
      <c r="J39" s="15">
        <f>1598.08+1650.02</f>
        <v>3248.1</v>
      </c>
      <c r="K39" s="34"/>
      <c r="L39" s="15">
        <f t="shared" si="0"/>
        <v>1443.3600000000001</v>
      </c>
      <c r="M39" s="35"/>
      <c r="N39" s="141">
        <f t="shared" si="1"/>
        <v>19756.57</v>
      </c>
    </row>
    <row r="40" spans="1:14" ht="12.75">
      <c r="A40" s="140">
        <v>4297902</v>
      </c>
      <c r="B40" s="46" t="s">
        <v>20</v>
      </c>
      <c r="C40" s="46" t="s">
        <v>33</v>
      </c>
      <c r="D40" s="47">
        <v>51645.69</v>
      </c>
      <c r="E40" s="76">
        <v>19936.84</v>
      </c>
      <c r="F40" s="48">
        <v>6.5</v>
      </c>
      <c r="G40" s="49">
        <v>1997</v>
      </c>
      <c r="H40" s="49">
        <v>2016</v>
      </c>
      <c r="I40" s="50">
        <v>4734.24</v>
      </c>
      <c r="J40" s="15">
        <f>1719.17+1775.04</f>
        <v>3494.21</v>
      </c>
      <c r="K40" s="34">
        <v>3030</v>
      </c>
      <c r="L40" s="15">
        <f t="shared" si="0"/>
        <v>1240.0299999999997</v>
      </c>
      <c r="M40" s="35">
        <v>820</v>
      </c>
      <c r="N40" s="141">
        <f t="shared" si="1"/>
        <v>16442.63</v>
      </c>
    </row>
    <row r="41" spans="1:14" ht="12.75">
      <c r="A41" s="140">
        <v>3078427</v>
      </c>
      <c r="B41" s="46" t="s">
        <v>20</v>
      </c>
      <c r="C41" s="46" t="s">
        <v>33</v>
      </c>
      <c r="D41" s="47">
        <v>144.61</v>
      </c>
      <c r="E41" s="76">
        <v>40.14</v>
      </c>
      <c r="F41" s="48">
        <v>6.5</v>
      </c>
      <c r="G41" s="49">
        <v>1981</v>
      </c>
      <c r="H41" s="49">
        <v>2015</v>
      </c>
      <c r="I41" s="50">
        <v>11.56</v>
      </c>
      <c r="J41" s="15">
        <f>4.48+4.62</f>
        <v>9.100000000000001</v>
      </c>
      <c r="K41" s="34"/>
      <c r="L41" s="15">
        <f t="shared" si="0"/>
        <v>2.459999999999999</v>
      </c>
      <c r="M41" s="35"/>
      <c r="N41" s="141">
        <f t="shared" si="1"/>
        <v>31.04</v>
      </c>
    </row>
    <row r="42" spans="1:29" s="273" customFormat="1" ht="13.5" thickBot="1">
      <c r="A42" s="142" t="s">
        <v>36</v>
      </c>
      <c r="B42" s="46" t="s">
        <v>20</v>
      </c>
      <c r="C42" s="46" t="s">
        <v>33</v>
      </c>
      <c r="D42" s="47">
        <v>3088.81</v>
      </c>
      <c r="E42" s="76">
        <v>240.67</v>
      </c>
      <c r="F42" s="48">
        <v>6.5</v>
      </c>
      <c r="G42" s="49">
        <v>1978</v>
      </c>
      <c r="H42" s="251">
        <v>2012</v>
      </c>
      <c r="I42" s="50">
        <v>252.44</v>
      </c>
      <c r="J42" s="15">
        <v>240.67</v>
      </c>
      <c r="K42" s="34"/>
      <c r="L42" s="15">
        <f t="shared" si="0"/>
        <v>11.77000000000001</v>
      </c>
      <c r="M42" s="35"/>
      <c r="N42" s="141">
        <f t="shared" si="1"/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14" ht="13.5" thickBot="1">
      <c r="A43" s="145"/>
      <c r="B43" s="98"/>
      <c r="C43" s="98"/>
      <c r="D43" s="99"/>
      <c r="E43" s="100" t="s">
        <v>42</v>
      </c>
      <c r="F43" s="101"/>
      <c r="G43" s="102"/>
      <c r="H43" s="103" t="s">
        <v>43</v>
      </c>
      <c r="I43" s="104">
        <f>SUM(I37:I42)</f>
        <v>19072.6</v>
      </c>
      <c r="J43" s="100">
        <f>SUM(J37:J42)</f>
        <v>13488.260000000002</v>
      </c>
      <c r="K43" s="224"/>
      <c r="L43" s="106">
        <f t="shared" si="0"/>
        <v>5584.3399999999965</v>
      </c>
      <c r="M43" s="224"/>
      <c r="N43" s="169">
        <f>SUM(N37:N42)</f>
        <v>75743.51999999999</v>
      </c>
    </row>
    <row r="44" spans="1:14" ht="12.75">
      <c r="A44" s="147">
        <v>4444717</v>
      </c>
      <c r="B44" s="91" t="s">
        <v>20</v>
      </c>
      <c r="C44" s="91" t="s">
        <v>38</v>
      </c>
      <c r="D44" s="92">
        <v>98000</v>
      </c>
      <c r="E44" s="76">
        <v>69313.83</v>
      </c>
      <c r="F44" s="93">
        <v>4.75</v>
      </c>
      <c r="G44" s="94">
        <v>2004</v>
      </c>
      <c r="H44" s="94">
        <v>2023</v>
      </c>
      <c r="I44" s="95">
        <v>7644.44</v>
      </c>
      <c r="J44" s="109">
        <f>2176.01+2227.69</f>
        <v>4403.700000000001</v>
      </c>
      <c r="K44" s="34"/>
      <c r="L44" s="109">
        <f t="shared" si="0"/>
        <v>3240.739999999999</v>
      </c>
      <c r="M44" s="35"/>
      <c r="N44" s="148">
        <f t="shared" si="1"/>
        <v>64910.130000000005</v>
      </c>
    </row>
    <row r="45" spans="1:14" ht="12.75">
      <c r="A45" s="140">
        <v>4388738</v>
      </c>
      <c r="B45" s="46" t="s">
        <v>20</v>
      </c>
      <c r="C45" s="46" t="s">
        <v>38</v>
      </c>
      <c r="D45" s="47">
        <v>103291.38</v>
      </c>
      <c r="E45" s="76">
        <v>65322.59</v>
      </c>
      <c r="F45" s="48">
        <v>5.5</v>
      </c>
      <c r="G45" s="49">
        <v>2002</v>
      </c>
      <c r="H45" s="49">
        <v>2021</v>
      </c>
      <c r="I45" s="50">
        <v>8579.7</v>
      </c>
      <c r="J45" s="15">
        <f>2493.48+2562.05</f>
        <v>5055.530000000001</v>
      </c>
      <c r="K45" s="34"/>
      <c r="L45" s="15">
        <f t="shared" si="0"/>
        <v>3524.17</v>
      </c>
      <c r="M45" s="35"/>
      <c r="N45" s="141">
        <f t="shared" si="1"/>
        <v>60267.06</v>
      </c>
    </row>
    <row r="46" spans="1:14" ht="12.75">
      <c r="A46" s="140">
        <v>4363583</v>
      </c>
      <c r="B46" s="46" t="s">
        <v>20</v>
      </c>
      <c r="C46" s="46" t="s">
        <v>38</v>
      </c>
      <c r="D46" s="47">
        <v>49982.94</v>
      </c>
      <c r="E46" s="76">
        <v>29393.55</v>
      </c>
      <c r="F46" s="48">
        <v>5.75</v>
      </c>
      <c r="G46" s="49">
        <v>2001</v>
      </c>
      <c r="H46" s="49">
        <v>2020</v>
      </c>
      <c r="I46" s="50">
        <v>4229.3</v>
      </c>
      <c r="J46" s="15">
        <f>1269.58+1306.08</f>
        <v>2575.66</v>
      </c>
      <c r="K46" s="34">
        <v>3030</v>
      </c>
      <c r="L46" s="15">
        <f t="shared" si="0"/>
        <v>1653.6400000000003</v>
      </c>
      <c r="M46" s="35">
        <v>910</v>
      </c>
      <c r="N46" s="141">
        <f t="shared" si="1"/>
        <v>26817.89</v>
      </c>
    </row>
    <row r="47" spans="1:14" ht="12.75">
      <c r="A47" s="143">
        <v>4317938</v>
      </c>
      <c r="B47" s="82" t="s">
        <v>20</v>
      </c>
      <c r="C47" s="82" t="s">
        <v>38</v>
      </c>
      <c r="D47" s="83">
        <v>50396.44</v>
      </c>
      <c r="E47" s="76">
        <v>22383.22</v>
      </c>
      <c r="F47" s="85">
        <v>6.5</v>
      </c>
      <c r="G47" s="86">
        <v>1998</v>
      </c>
      <c r="H47" s="86">
        <v>2017</v>
      </c>
      <c r="I47" s="89">
        <v>4564.72</v>
      </c>
      <c r="J47" s="90">
        <f>1554.9+1605.44</f>
        <v>3160.34</v>
      </c>
      <c r="K47" s="34" t="s">
        <v>42</v>
      </c>
      <c r="L47" s="90">
        <f>I47-J47</f>
        <v>1404.38</v>
      </c>
      <c r="M47" s="35" t="s">
        <v>42</v>
      </c>
      <c r="N47" s="144">
        <f>E47-J47</f>
        <v>19222.88</v>
      </c>
    </row>
    <row r="48" spans="1:14" ht="13.5" thickBot="1">
      <c r="A48" s="222" t="s">
        <v>94</v>
      </c>
      <c r="B48" s="46" t="s">
        <v>20</v>
      </c>
      <c r="C48" s="46" t="s">
        <v>85</v>
      </c>
      <c r="D48" s="83">
        <v>130000</v>
      </c>
      <c r="E48" s="84">
        <v>116924.06</v>
      </c>
      <c r="F48" s="85">
        <v>4.39</v>
      </c>
      <c r="G48" s="86">
        <v>2008</v>
      </c>
      <c r="H48" s="86">
        <v>2028</v>
      </c>
      <c r="I48" s="89">
        <v>9832.52</v>
      </c>
      <c r="J48" s="90">
        <f>2349.78+2401.36</f>
        <v>4751.14</v>
      </c>
      <c r="K48" s="34"/>
      <c r="L48" s="90">
        <f>I48-J48</f>
        <v>5081.38</v>
      </c>
      <c r="M48" s="35"/>
      <c r="N48" s="141">
        <f>E48-J48</f>
        <v>112172.92</v>
      </c>
    </row>
    <row r="49" spans="1:14" ht="13.5" thickBot="1">
      <c r="A49" s="152"/>
      <c r="B49" s="98"/>
      <c r="C49" s="98"/>
      <c r="D49" s="99"/>
      <c r="E49" s="100" t="s">
        <v>42</v>
      </c>
      <c r="F49" s="101"/>
      <c r="G49" s="102"/>
      <c r="H49" s="103" t="s">
        <v>43</v>
      </c>
      <c r="I49" s="104">
        <f>SUM(I44:I48)</f>
        <v>34850.68</v>
      </c>
      <c r="J49" s="100">
        <f>SUM(J44:J48)</f>
        <v>19946.370000000003</v>
      </c>
      <c r="K49" s="224"/>
      <c r="L49" s="100">
        <f t="shared" si="0"/>
        <v>14904.309999999998</v>
      </c>
      <c r="M49" s="224"/>
      <c r="N49" s="169">
        <f>SUM(N44:N48)</f>
        <v>283390.88</v>
      </c>
    </row>
    <row r="50" spans="1:14" ht="12.75">
      <c r="A50" s="147">
        <v>4284047</v>
      </c>
      <c r="B50" s="91" t="s">
        <v>20</v>
      </c>
      <c r="C50" s="91" t="s">
        <v>39</v>
      </c>
      <c r="D50" s="92">
        <v>77468.53</v>
      </c>
      <c r="E50" s="76">
        <v>30034.34</v>
      </c>
      <c r="F50" s="93">
        <v>6.5</v>
      </c>
      <c r="G50" s="94">
        <v>1997</v>
      </c>
      <c r="H50" s="94">
        <v>2016</v>
      </c>
      <c r="I50" s="95">
        <v>7132.02</v>
      </c>
      <c r="J50" s="109">
        <f>2589.9+2674.07</f>
        <v>5263.97</v>
      </c>
      <c r="K50" s="34">
        <v>3030</v>
      </c>
      <c r="L50" s="109">
        <f t="shared" si="0"/>
        <v>1868.0500000000002</v>
      </c>
      <c r="M50" s="35">
        <v>930</v>
      </c>
      <c r="N50" s="148">
        <f>E50-J50</f>
        <v>24770.37</v>
      </c>
    </row>
    <row r="51" spans="1:14" s="237" customFormat="1" ht="31.5" thickBot="1">
      <c r="A51" s="222" t="s">
        <v>105</v>
      </c>
      <c r="B51" s="82" t="s">
        <v>20</v>
      </c>
      <c r="C51" s="272" t="s">
        <v>100</v>
      </c>
      <c r="D51" s="83">
        <v>50000</v>
      </c>
      <c r="E51" s="56">
        <v>46699.73</v>
      </c>
      <c r="F51" s="85">
        <v>4.32</v>
      </c>
      <c r="G51" s="86">
        <v>2010</v>
      </c>
      <c r="H51" s="86">
        <v>2029</v>
      </c>
      <c r="I51" s="89">
        <v>3761.52</v>
      </c>
      <c r="J51" s="157">
        <f>870.18+889.01</f>
        <v>1759.19</v>
      </c>
      <c r="K51" s="65"/>
      <c r="L51" s="108">
        <f>I51-J51</f>
        <v>2002.33</v>
      </c>
      <c r="M51" s="66"/>
      <c r="N51" s="141">
        <f>E51-J51</f>
        <v>44940.54</v>
      </c>
    </row>
    <row r="52" spans="1:14" ht="13.5" thickBot="1">
      <c r="A52" s="145"/>
      <c r="B52" s="98"/>
      <c r="C52" s="98"/>
      <c r="D52" s="99"/>
      <c r="E52" s="100" t="s">
        <v>42</v>
      </c>
      <c r="F52" s="101"/>
      <c r="G52" s="102"/>
      <c r="H52" s="103" t="s">
        <v>43</v>
      </c>
      <c r="I52" s="163">
        <f>SUM(I50:I51)</f>
        <v>10893.54</v>
      </c>
      <c r="J52" s="162">
        <f>SUM(J50:J51)</f>
        <v>7023.16</v>
      </c>
      <c r="K52" s="224"/>
      <c r="L52" s="106">
        <f t="shared" si="0"/>
        <v>3870.380000000001</v>
      </c>
      <c r="M52" s="224"/>
      <c r="N52" s="169">
        <f>SUM(N50:N51)</f>
        <v>69710.91</v>
      </c>
    </row>
    <row r="53" spans="1:14" ht="13.5" thickBot="1">
      <c r="A53" s="184">
        <v>38497</v>
      </c>
      <c r="B53" s="175" t="s">
        <v>40</v>
      </c>
      <c r="C53" s="175" t="s">
        <v>61</v>
      </c>
      <c r="D53" s="176">
        <v>130481.69</v>
      </c>
      <c r="E53" s="177">
        <v>35911.26</v>
      </c>
      <c r="F53" s="178">
        <v>6</v>
      </c>
      <c r="G53" s="179">
        <v>2002</v>
      </c>
      <c r="H53" s="180">
        <v>2014</v>
      </c>
      <c r="I53" s="89">
        <v>13239.06</v>
      </c>
      <c r="J53" s="90">
        <v>11280.08</v>
      </c>
      <c r="K53" s="34">
        <v>3040</v>
      </c>
      <c r="L53" s="118">
        <f t="shared" si="0"/>
        <v>1958.9799999999996</v>
      </c>
      <c r="M53" s="66">
        <v>950</v>
      </c>
      <c r="N53" s="170">
        <f t="shared" si="1"/>
        <v>24631.18</v>
      </c>
    </row>
    <row r="54" spans="1:14" ht="13.5" thickBot="1">
      <c r="A54" s="145"/>
      <c r="B54" s="98"/>
      <c r="C54" s="98"/>
      <c r="D54" s="99"/>
      <c r="E54" s="100" t="s">
        <v>42</v>
      </c>
      <c r="F54" s="101"/>
      <c r="G54" s="102"/>
      <c r="H54" s="103" t="s">
        <v>43</v>
      </c>
      <c r="I54" s="181">
        <f>SUM(I53)</f>
        <v>13239.06</v>
      </c>
      <c r="J54" s="106">
        <f>SUM(J53)</f>
        <v>11280.08</v>
      </c>
      <c r="K54" s="224"/>
      <c r="L54" s="106">
        <f t="shared" si="0"/>
        <v>1958.9799999999996</v>
      </c>
      <c r="M54" s="224"/>
      <c r="N54" s="169">
        <f>SUM(N53)</f>
        <v>24631.18</v>
      </c>
    </row>
    <row r="55" spans="1:14" ht="13.5" hidden="1" thickBot="1">
      <c r="A55" s="154"/>
      <c r="B55" s="12"/>
      <c r="C55" s="12"/>
      <c r="D55" s="3"/>
      <c r="E55" s="4"/>
      <c r="F55" s="13"/>
      <c r="G55" s="25"/>
      <c r="H55" s="25"/>
      <c r="I55" s="5"/>
      <c r="J55" s="4"/>
      <c r="K55" s="14"/>
      <c r="L55" s="109">
        <f t="shared" si="0"/>
        <v>0</v>
      </c>
      <c r="M55" s="66"/>
      <c r="N55" s="173">
        <f t="shared" si="1"/>
        <v>0</v>
      </c>
    </row>
    <row r="56" spans="1:14" ht="13.5" hidden="1" thickBot="1">
      <c r="A56" s="154"/>
      <c r="B56" s="12"/>
      <c r="C56" s="12"/>
      <c r="D56" s="3"/>
      <c r="E56" s="4"/>
      <c r="F56" s="13"/>
      <c r="G56" s="25"/>
      <c r="H56" s="25"/>
      <c r="I56" s="5"/>
      <c r="J56" s="4"/>
      <c r="K56" s="14"/>
      <c r="L56" s="15">
        <f t="shared" si="0"/>
        <v>0</v>
      </c>
      <c r="M56" s="27"/>
      <c r="N56" s="173">
        <f t="shared" si="1"/>
        <v>0</v>
      </c>
    </row>
    <row r="57" spans="1:14" ht="13.5" hidden="1" thickBot="1">
      <c r="A57" s="154"/>
      <c r="B57" s="12"/>
      <c r="C57" s="12"/>
      <c r="D57" s="3"/>
      <c r="E57" s="4"/>
      <c r="F57" s="13"/>
      <c r="G57" s="25"/>
      <c r="H57" s="25"/>
      <c r="I57" s="5"/>
      <c r="J57" s="4"/>
      <c r="K57" s="14"/>
      <c r="L57" s="15">
        <f t="shared" si="0"/>
        <v>0</v>
      </c>
      <c r="M57" s="27"/>
      <c r="N57" s="173">
        <f t="shared" si="1"/>
        <v>0</v>
      </c>
    </row>
    <row r="58" spans="1:14" ht="13.5" hidden="1" thickBot="1">
      <c r="A58" s="154"/>
      <c r="B58" s="12"/>
      <c r="C58" s="12"/>
      <c r="D58" s="3"/>
      <c r="E58" s="4"/>
      <c r="F58" s="13"/>
      <c r="G58" s="25"/>
      <c r="H58" s="25"/>
      <c r="I58" s="5"/>
      <c r="J58" s="4"/>
      <c r="K58" s="14"/>
      <c r="L58" s="15">
        <f t="shared" si="0"/>
        <v>0</v>
      </c>
      <c r="M58" s="27"/>
      <c r="N58" s="173">
        <f t="shared" si="1"/>
        <v>0</v>
      </c>
    </row>
    <row r="59" spans="1:14" ht="13.5" hidden="1" thickBot="1">
      <c r="A59" s="154"/>
      <c r="B59" s="12"/>
      <c r="C59" s="12"/>
      <c r="D59" s="3"/>
      <c r="E59" s="4"/>
      <c r="F59" s="13"/>
      <c r="G59" s="25"/>
      <c r="H59" s="25"/>
      <c r="I59" s="5"/>
      <c r="J59" s="4"/>
      <c r="K59" s="14"/>
      <c r="L59" s="15">
        <f t="shared" si="0"/>
        <v>0</v>
      </c>
      <c r="M59" s="27"/>
      <c r="N59" s="173">
        <f t="shared" si="1"/>
        <v>0</v>
      </c>
    </row>
    <row r="60" spans="1:14" ht="13.5" hidden="1" thickBot="1">
      <c r="A60" s="154"/>
      <c r="B60" s="12"/>
      <c r="C60" s="12"/>
      <c r="D60" s="3"/>
      <c r="E60" s="4"/>
      <c r="F60" s="13"/>
      <c r="G60" s="25"/>
      <c r="H60" s="25"/>
      <c r="I60" s="5"/>
      <c r="J60" s="4"/>
      <c r="K60" s="14"/>
      <c r="L60" s="15">
        <f t="shared" si="0"/>
        <v>0</v>
      </c>
      <c r="M60" s="27"/>
      <c r="N60" s="173">
        <f t="shared" si="1"/>
        <v>0</v>
      </c>
    </row>
    <row r="61" spans="1:14" ht="13.5" hidden="1" thickBot="1">
      <c r="A61" s="154"/>
      <c r="B61" s="12"/>
      <c r="C61" s="12"/>
      <c r="D61" s="3"/>
      <c r="E61" s="4"/>
      <c r="F61" s="13"/>
      <c r="G61" s="25"/>
      <c r="H61" s="25"/>
      <c r="I61" s="5"/>
      <c r="J61" s="4"/>
      <c r="K61" s="14"/>
      <c r="L61" s="15">
        <f t="shared" si="0"/>
        <v>0</v>
      </c>
      <c r="M61" s="27"/>
      <c r="N61" s="173">
        <f t="shared" si="1"/>
        <v>0</v>
      </c>
    </row>
    <row r="62" spans="1:14" ht="13.5" hidden="1" thickBot="1">
      <c r="A62" s="154"/>
      <c r="B62" s="12"/>
      <c r="C62" s="12"/>
      <c r="D62" s="3"/>
      <c r="E62" s="4"/>
      <c r="F62" s="13"/>
      <c r="G62" s="25"/>
      <c r="H62" s="25"/>
      <c r="I62" s="5"/>
      <c r="J62" s="4"/>
      <c r="K62" s="14"/>
      <c r="L62" s="15">
        <f t="shared" si="0"/>
        <v>0</v>
      </c>
      <c r="M62" s="27"/>
      <c r="N62" s="173">
        <f t="shared" si="1"/>
        <v>0</v>
      </c>
    </row>
    <row r="63" spans="1:14" ht="13.5" hidden="1" thickBot="1">
      <c r="A63" s="154"/>
      <c r="B63" s="12"/>
      <c r="C63" s="12"/>
      <c r="D63" s="3"/>
      <c r="E63" s="4"/>
      <c r="F63" s="13"/>
      <c r="G63" s="25"/>
      <c r="H63" s="25"/>
      <c r="I63" s="5"/>
      <c r="J63" s="4"/>
      <c r="K63" s="14"/>
      <c r="L63" s="15">
        <f t="shared" si="0"/>
        <v>0</v>
      </c>
      <c r="M63" s="27"/>
      <c r="N63" s="173">
        <f t="shared" si="1"/>
        <v>0</v>
      </c>
    </row>
    <row r="64" spans="1:14" ht="13.5" hidden="1" thickBot="1">
      <c r="A64" s="154"/>
      <c r="B64" s="12"/>
      <c r="C64" s="12"/>
      <c r="D64" s="3"/>
      <c r="E64" s="4"/>
      <c r="F64" s="13"/>
      <c r="G64" s="25"/>
      <c r="H64" s="25"/>
      <c r="I64" s="5"/>
      <c r="J64" s="4"/>
      <c r="K64" s="14"/>
      <c r="L64" s="15">
        <f t="shared" si="0"/>
        <v>0</v>
      </c>
      <c r="M64" s="27"/>
      <c r="N64" s="173">
        <f t="shared" si="1"/>
        <v>0</v>
      </c>
    </row>
    <row r="65" spans="1:14" ht="13.5" hidden="1" thickBot="1">
      <c r="A65" s="154"/>
      <c r="B65" s="12"/>
      <c r="C65" s="12"/>
      <c r="D65" s="3"/>
      <c r="E65" s="4"/>
      <c r="F65" s="13"/>
      <c r="G65" s="25"/>
      <c r="H65" s="25"/>
      <c r="I65" s="5"/>
      <c r="J65" s="4"/>
      <c r="K65" s="14"/>
      <c r="L65" s="15">
        <f t="shared" si="0"/>
        <v>0</v>
      </c>
      <c r="M65" s="27"/>
      <c r="N65" s="173">
        <f t="shared" si="1"/>
        <v>0</v>
      </c>
    </row>
    <row r="66" spans="1:14" ht="13.5" hidden="1" thickBot="1">
      <c r="A66" s="154"/>
      <c r="B66" s="12"/>
      <c r="C66" s="12"/>
      <c r="D66" s="3"/>
      <c r="E66" s="4"/>
      <c r="F66" s="13"/>
      <c r="G66" s="25"/>
      <c r="H66" s="25"/>
      <c r="I66" s="5"/>
      <c r="J66" s="4"/>
      <c r="K66" s="14"/>
      <c r="L66" s="15">
        <f t="shared" si="0"/>
        <v>0</v>
      </c>
      <c r="M66" s="27"/>
      <c r="N66" s="173">
        <f t="shared" si="1"/>
        <v>0</v>
      </c>
    </row>
    <row r="67" spans="1:14" ht="13.5" hidden="1" thickBot="1">
      <c r="A67" s="154"/>
      <c r="B67" s="12"/>
      <c r="C67" s="12"/>
      <c r="D67" s="3"/>
      <c r="E67" s="4"/>
      <c r="F67" s="13"/>
      <c r="G67" s="25"/>
      <c r="H67" s="25"/>
      <c r="I67" s="5"/>
      <c r="J67" s="4"/>
      <c r="K67" s="14"/>
      <c r="L67" s="15">
        <f t="shared" si="0"/>
        <v>0</v>
      </c>
      <c r="M67" s="27"/>
      <c r="N67" s="173">
        <f t="shared" si="1"/>
        <v>0</v>
      </c>
    </row>
    <row r="68" spans="1:14" ht="13.5" hidden="1" thickBot="1">
      <c r="A68" s="154"/>
      <c r="B68" s="12"/>
      <c r="C68" s="12"/>
      <c r="D68" s="3"/>
      <c r="E68" s="4"/>
      <c r="F68" s="13"/>
      <c r="G68" s="25"/>
      <c r="H68" s="25"/>
      <c r="I68" s="5"/>
      <c r="J68" s="4"/>
      <c r="K68" s="14"/>
      <c r="L68" s="15">
        <f t="shared" si="0"/>
        <v>0</v>
      </c>
      <c r="M68" s="27"/>
      <c r="N68" s="173">
        <f t="shared" si="1"/>
        <v>0</v>
      </c>
    </row>
    <row r="69" spans="1:14" ht="13.5" hidden="1" thickBot="1">
      <c r="A69" s="154"/>
      <c r="B69" s="12"/>
      <c r="C69" s="12"/>
      <c r="D69" s="3"/>
      <c r="E69" s="4"/>
      <c r="F69" s="13"/>
      <c r="G69" s="25"/>
      <c r="H69" s="25"/>
      <c r="I69" s="5"/>
      <c r="J69" s="4"/>
      <c r="K69" s="14"/>
      <c r="L69" s="15">
        <f aca="true" t="shared" si="2" ref="L69:L83">I69-J69</f>
        <v>0</v>
      </c>
      <c r="M69" s="27"/>
      <c r="N69" s="173">
        <f aca="true" t="shared" si="3" ref="N69:N83">E69-J69</f>
        <v>0</v>
      </c>
    </row>
    <row r="70" spans="1:14" ht="13.5" hidden="1" thickBot="1">
      <c r="A70" s="154"/>
      <c r="B70" s="12"/>
      <c r="C70" s="12"/>
      <c r="D70" s="3"/>
      <c r="E70" s="4"/>
      <c r="F70" s="13"/>
      <c r="G70" s="25"/>
      <c r="H70" s="25"/>
      <c r="I70" s="5"/>
      <c r="J70" s="4"/>
      <c r="K70" s="14"/>
      <c r="L70" s="15">
        <f t="shared" si="2"/>
        <v>0</v>
      </c>
      <c r="M70" s="27"/>
      <c r="N70" s="173">
        <f t="shared" si="3"/>
        <v>0</v>
      </c>
    </row>
    <row r="71" spans="1:14" ht="13.5" hidden="1" thickBot="1">
      <c r="A71" s="154"/>
      <c r="B71" s="12"/>
      <c r="C71" s="12"/>
      <c r="D71" s="3"/>
      <c r="E71" s="4"/>
      <c r="F71" s="13"/>
      <c r="G71" s="25"/>
      <c r="H71" s="25"/>
      <c r="I71" s="5"/>
      <c r="J71" s="4"/>
      <c r="K71" s="14"/>
      <c r="L71" s="15">
        <f t="shared" si="2"/>
        <v>0</v>
      </c>
      <c r="M71" s="27"/>
      <c r="N71" s="173">
        <f t="shared" si="3"/>
        <v>0</v>
      </c>
    </row>
    <row r="72" spans="1:14" ht="13.5" hidden="1" thickBot="1">
      <c r="A72" s="154"/>
      <c r="B72" s="12"/>
      <c r="C72" s="12"/>
      <c r="D72" s="3"/>
      <c r="E72" s="4"/>
      <c r="F72" s="13"/>
      <c r="G72" s="25"/>
      <c r="H72" s="25"/>
      <c r="I72" s="5"/>
      <c r="J72" s="4"/>
      <c r="K72" s="14"/>
      <c r="L72" s="15">
        <f t="shared" si="2"/>
        <v>0</v>
      </c>
      <c r="M72" s="27"/>
      <c r="N72" s="173">
        <f t="shared" si="3"/>
        <v>0</v>
      </c>
    </row>
    <row r="73" spans="1:14" ht="13.5" hidden="1" thickBot="1">
      <c r="A73" s="154"/>
      <c r="B73" s="12"/>
      <c r="C73" s="12"/>
      <c r="D73" s="3"/>
      <c r="E73" s="4"/>
      <c r="F73" s="13"/>
      <c r="G73" s="25"/>
      <c r="H73" s="25"/>
      <c r="I73" s="5"/>
      <c r="J73" s="4"/>
      <c r="K73" s="14"/>
      <c r="L73" s="15">
        <f t="shared" si="2"/>
        <v>0</v>
      </c>
      <c r="M73" s="27"/>
      <c r="N73" s="173">
        <f t="shared" si="3"/>
        <v>0</v>
      </c>
    </row>
    <row r="74" spans="1:14" ht="13.5" hidden="1" thickBot="1">
      <c r="A74" s="154"/>
      <c r="B74" s="12"/>
      <c r="C74" s="12"/>
      <c r="D74" s="3"/>
      <c r="E74" s="4"/>
      <c r="F74" s="13"/>
      <c r="G74" s="25"/>
      <c r="H74" s="25"/>
      <c r="I74" s="5"/>
      <c r="J74" s="4"/>
      <c r="K74" s="14"/>
      <c r="L74" s="15">
        <f t="shared" si="2"/>
        <v>0</v>
      </c>
      <c r="M74" s="27"/>
      <c r="N74" s="173">
        <f t="shared" si="3"/>
        <v>0</v>
      </c>
    </row>
    <row r="75" spans="1:14" ht="13.5" hidden="1" thickBot="1">
      <c r="A75" s="154"/>
      <c r="B75" s="12"/>
      <c r="C75" s="12"/>
      <c r="D75" s="3"/>
      <c r="E75" s="4"/>
      <c r="F75" s="13"/>
      <c r="G75" s="25"/>
      <c r="H75" s="25"/>
      <c r="I75" s="5"/>
      <c r="J75" s="4"/>
      <c r="K75" s="14"/>
      <c r="L75" s="15">
        <f t="shared" si="2"/>
        <v>0</v>
      </c>
      <c r="M75" s="27"/>
      <c r="N75" s="173">
        <f t="shared" si="3"/>
        <v>0</v>
      </c>
    </row>
    <row r="76" spans="1:14" ht="13.5" hidden="1" thickBot="1">
      <c r="A76" s="154"/>
      <c r="B76" s="12"/>
      <c r="C76" s="12"/>
      <c r="D76" s="3"/>
      <c r="E76" s="4"/>
      <c r="F76" s="13"/>
      <c r="G76" s="25"/>
      <c r="H76" s="25"/>
      <c r="I76" s="5"/>
      <c r="J76" s="4"/>
      <c r="K76" s="14"/>
      <c r="L76" s="15">
        <f t="shared" si="2"/>
        <v>0</v>
      </c>
      <c r="M76" s="27"/>
      <c r="N76" s="173">
        <f t="shared" si="3"/>
        <v>0</v>
      </c>
    </row>
    <row r="77" spans="1:14" ht="13.5" hidden="1" thickBot="1">
      <c r="A77" s="154"/>
      <c r="B77" s="12"/>
      <c r="C77" s="12"/>
      <c r="D77" s="3"/>
      <c r="E77" s="4"/>
      <c r="F77" s="13"/>
      <c r="G77" s="25"/>
      <c r="H77" s="25"/>
      <c r="I77" s="5"/>
      <c r="J77" s="4"/>
      <c r="K77" s="14"/>
      <c r="L77" s="15">
        <f t="shared" si="2"/>
        <v>0</v>
      </c>
      <c r="M77" s="27"/>
      <c r="N77" s="173">
        <f t="shared" si="3"/>
        <v>0</v>
      </c>
    </row>
    <row r="78" spans="1:14" ht="13.5" hidden="1" thickBot="1">
      <c r="A78" s="154"/>
      <c r="B78" s="12"/>
      <c r="C78" s="12"/>
      <c r="D78" s="3"/>
      <c r="E78" s="4"/>
      <c r="F78" s="13"/>
      <c r="G78" s="25"/>
      <c r="H78" s="25"/>
      <c r="I78" s="5"/>
      <c r="J78" s="4"/>
      <c r="K78" s="14"/>
      <c r="L78" s="15">
        <f t="shared" si="2"/>
        <v>0</v>
      </c>
      <c r="M78" s="27"/>
      <c r="N78" s="173">
        <f t="shared" si="3"/>
        <v>0</v>
      </c>
    </row>
    <row r="79" spans="1:14" ht="13.5" hidden="1" thickBot="1">
      <c r="A79" s="154"/>
      <c r="B79" s="12"/>
      <c r="C79" s="12"/>
      <c r="D79" s="3"/>
      <c r="E79" s="4"/>
      <c r="F79" s="13"/>
      <c r="G79" s="25"/>
      <c r="H79" s="25"/>
      <c r="I79" s="5"/>
      <c r="J79" s="4"/>
      <c r="K79" s="14"/>
      <c r="L79" s="15">
        <f t="shared" si="2"/>
        <v>0</v>
      </c>
      <c r="M79" s="27"/>
      <c r="N79" s="173">
        <f t="shared" si="3"/>
        <v>0</v>
      </c>
    </row>
    <row r="80" spans="1:14" ht="13.5" hidden="1" thickBot="1">
      <c r="A80" s="154"/>
      <c r="B80" s="12"/>
      <c r="C80" s="12"/>
      <c r="D80" s="3"/>
      <c r="E80" s="4"/>
      <c r="F80" s="13"/>
      <c r="G80" s="25"/>
      <c r="H80" s="25"/>
      <c r="I80" s="5"/>
      <c r="J80" s="4"/>
      <c r="K80" s="14"/>
      <c r="L80" s="15">
        <f t="shared" si="2"/>
        <v>0</v>
      </c>
      <c r="M80" s="27"/>
      <c r="N80" s="173">
        <f t="shared" si="3"/>
        <v>0</v>
      </c>
    </row>
    <row r="81" spans="1:14" ht="13.5" hidden="1" thickBot="1">
      <c r="A81" s="154"/>
      <c r="B81" s="12"/>
      <c r="C81" s="12"/>
      <c r="D81" s="3"/>
      <c r="E81" s="4"/>
      <c r="F81" s="13"/>
      <c r="G81" s="25"/>
      <c r="H81" s="25"/>
      <c r="I81" s="5"/>
      <c r="J81" s="4"/>
      <c r="K81" s="14"/>
      <c r="L81" s="15">
        <f t="shared" si="2"/>
        <v>0</v>
      </c>
      <c r="M81" s="27"/>
      <c r="N81" s="173">
        <f t="shared" si="3"/>
        <v>0</v>
      </c>
    </row>
    <row r="82" spans="1:14" ht="13.5" hidden="1" thickBot="1">
      <c r="A82" s="154"/>
      <c r="B82" s="12"/>
      <c r="C82" s="12"/>
      <c r="D82" s="3"/>
      <c r="E82" s="4"/>
      <c r="F82" s="13"/>
      <c r="G82" s="25"/>
      <c r="H82" s="25"/>
      <c r="I82" s="5"/>
      <c r="J82" s="4"/>
      <c r="K82" s="14"/>
      <c r="L82" s="15">
        <f t="shared" si="2"/>
        <v>0</v>
      </c>
      <c r="M82" s="27"/>
      <c r="N82" s="173">
        <f t="shared" si="3"/>
        <v>0</v>
      </c>
    </row>
    <row r="83" spans="1:14" ht="13.5" hidden="1" thickBot="1">
      <c r="A83" s="155"/>
      <c r="B83" s="111"/>
      <c r="C83" s="111"/>
      <c r="D83" s="112"/>
      <c r="E83" s="126"/>
      <c r="F83" s="114"/>
      <c r="G83" s="115"/>
      <c r="H83" s="115"/>
      <c r="I83" s="116"/>
      <c r="J83" s="126"/>
      <c r="K83" s="127"/>
      <c r="L83" s="90">
        <f t="shared" si="2"/>
        <v>0</v>
      </c>
      <c r="M83" s="27"/>
      <c r="N83" s="170">
        <f t="shared" si="3"/>
        <v>0</v>
      </c>
    </row>
    <row r="84" spans="1:14" ht="14.25" thickBot="1" thickTop="1">
      <c r="A84" s="128"/>
      <c r="B84" s="129"/>
      <c r="C84" s="130" t="s">
        <v>8</v>
      </c>
      <c r="D84" s="131">
        <f>SUM(D3:D83)</f>
        <v>3904263.5499999993</v>
      </c>
      <c r="E84" s="132">
        <f>SUM(E3:E83)</f>
        <v>2501858.669999999</v>
      </c>
      <c r="F84" s="133"/>
      <c r="G84" s="133"/>
      <c r="H84" s="133"/>
      <c r="I84" s="134">
        <f>+I13+I19+I22+I36+I43+I49+I52+I54</f>
        <v>324708.8</v>
      </c>
      <c r="J84" s="134">
        <f>+J13+J19+J22+J36+J43+J49+J52+J54</f>
        <v>195839.34</v>
      </c>
      <c r="K84" s="133"/>
      <c r="L84" s="134">
        <f>+L13+L19+L22+L36+L43+L49+L52+L54</f>
        <v>128869.45999999999</v>
      </c>
      <c r="M84" s="135"/>
      <c r="N84" s="136">
        <f>+N13+N19+N22+N36+N43+N49+N52+N54</f>
        <v>2306019.3300000005</v>
      </c>
    </row>
    <row r="85" ht="13.5" thickTop="1"/>
    <row r="87" ht="12.75">
      <c r="A87" s="2" t="s">
        <v>42</v>
      </c>
    </row>
    <row r="90" ht="12.75">
      <c r="J90" s="295"/>
    </row>
    <row r="91" ht="12.75">
      <c r="J91" s="296"/>
    </row>
  </sheetData>
  <sheetProtection/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 AMMORTAMENTO MUTUI DAL 1996</dc:title>
  <dc:subject/>
  <dc:creator>..</dc:creator>
  <cp:keywords/>
  <dc:description/>
  <cp:lastModifiedBy>Bruno</cp:lastModifiedBy>
  <cp:lastPrinted>2022-11-10T11:01:01Z</cp:lastPrinted>
  <dcterms:created xsi:type="dcterms:W3CDTF">1998-11-04T06:52:10Z</dcterms:created>
  <dcterms:modified xsi:type="dcterms:W3CDTF">2023-01-31T11:51:02Z</dcterms:modified>
  <cp:category/>
  <cp:version/>
  <cp:contentType/>
  <cp:contentStatus/>
</cp:coreProperties>
</file>