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32767" yWindow="32767" windowWidth="32767" windowHeight="17196" tabRatio="885" activeTab="1"/>
  </bookViews>
  <sheets>
    <sheet name="ENTRATA" sheetId="1" r:id="rId1"/>
    <sheet name="SPESA" sheetId="2" r:id="rId2"/>
    <sheet name="CASSA" sheetId="3" r:id="rId3"/>
    <sheet name="QUADRO RIASSUNTIVO" sheetId="4" r:id="rId4"/>
    <sheet name="PAREGGIO PARTE CORRENTE" sheetId="5" r:id="rId5"/>
    <sheet name="PAREGGIO PARTE CAPITALE" sheetId="6" r:id="rId6"/>
    <sheet name="PAREGGIO COMPLESSIVO" sheetId="7" r:id="rId7"/>
    <sheet name="EQUILIBRI" sheetId="8" r:id="rId8"/>
    <sheet name="EQUILIBRI_NUOVO" sheetId="9" r:id="rId9"/>
    <sheet name="AVANZO PRESUNTO 2021" sheetId="10" r:id="rId10"/>
    <sheet name="All. a1-Quote accantonate" sheetId="11" r:id="rId11"/>
    <sheet name="All. a2-Quote vincolate" sheetId="12" r:id="rId12"/>
    <sheet name="All. a3- Quote destinate" sheetId="13" r:id="rId13"/>
    <sheet name="INDEBITAMENTO 2022" sheetId="14" r:id="rId14"/>
    <sheet name="INDEBITAMENTO 2023" sheetId="15" r:id="rId15"/>
    <sheet name="INDEBITAMENTO 2024" sheetId="16" r:id="rId16"/>
    <sheet name="INDEBITAMENTO NUOVO" sheetId="17" r:id="rId17"/>
  </sheets>
  <definedNames>
    <definedName name="_xlnm.Print_Area" localSheetId="0">'ENTRATA'!$A$1:$N$215</definedName>
    <definedName name="_xlnm.Print_Area" localSheetId="1">'SPESA'!$A$1:$R$474</definedName>
  </definedNames>
  <calcPr fullCalcOnLoad="1"/>
</workbook>
</file>

<file path=xl/comments1.xml><?xml version="1.0" encoding="utf-8"?>
<comments xmlns="http://schemas.openxmlformats.org/spreadsheetml/2006/main">
  <authors>
    <author>Bruno Lazzarini</author>
    <author>Bruno</author>
  </authors>
  <commentList>
    <comment ref="K7" authorId="0">
      <text>
        <r>
          <rPr>
            <b/>
            <sz val="9"/>
            <rFont val="Tahoma"/>
            <family val="2"/>
          </rPr>
          <t xml:space="preserve">FCDE : </t>
        </r>
      </text>
    </comment>
    <comment ref="M7" authorId="0">
      <text>
        <r>
          <rPr>
            <b/>
            <sz val="9"/>
            <rFont val="Tahoma"/>
            <family val="2"/>
          </rPr>
          <t xml:space="preserve">FCDE : </t>
        </r>
      </text>
    </comment>
    <comment ref="N7" authorId="0">
      <text>
        <r>
          <rPr>
            <b/>
            <sz val="9"/>
            <rFont val="Tahoma"/>
            <family val="2"/>
          </rPr>
          <t xml:space="preserve">FCDE : </t>
        </r>
      </text>
    </comment>
    <comment ref="K8" authorId="0">
      <text>
        <r>
          <rPr>
            <b/>
            <sz val="9"/>
            <rFont val="Tahoma"/>
            <family val="2"/>
          </rPr>
          <t xml:space="preserve">FCDE : </t>
        </r>
      </text>
    </comment>
    <comment ref="M8" authorId="0">
      <text>
        <r>
          <rPr>
            <b/>
            <sz val="9"/>
            <rFont val="Tahoma"/>
            <family val="2"/>
          </rPr>
          <t xml:space="preserve">FCDE : </t>
        </r>
      </text>
    </comment>
    <comment ref="N8" authorId="0">
      <text>
        <r>
          <rPr>
            <b/>
            <sz val="9"/>
            <rFont val="Tahoma"/>
            <family val="2"/>
          </rPr>
          <t xml:space="preserve">FCDE : </t>
        </r>
      </text>
    </comment>
    <comment ref="K12" authorId="0">
      <text>
        <r>
          <rPr>
            <b/>
            <sz val="9"/>
            <rFont val="Tahoma"/>
            <family val="2"/>
          </rPr>
          <t xml:space="preserve">FCDE : </t>
        </r>
      </text>
    </comment>
    <comment ref="M12" authorId="0">
      <text>
        <r>
          <rPr>
            <b/>
            <sz val="9"/>
            <rFont val="Tahoma"/>
            <family val="2"/>
          </rPr>
          <t xml:space="preserve">FCDE : </t>
        </r>
      </text>
    </comment>
    <comment ref="K88" authorId="0">
      <text>
        <r>
          <rPr>
            <b/>
            <sz val="9"/>
            <rFont val="Tahoma"/>
            <family val="2"/>
          </rPr>
          <t xml:space="preserve">FCDE : </t>
        </r>
      </text>
    </comment>
    <comment ref="M88" authorId="0">
      <text>
        <r>
          <rPr>
            <b/>
            <sz val="9"/>
            <rFont val="Tahoma"/>
            <family val="2"/>
          </rPr>
          <t xml:space="preserve">FCDE : </t>
        </r>
      </text>
    </comment>
    <comment ref="N88" authorId="0">
      <text>
        <r>
          <rPr>
            <b/>
            <sz val="9"/>
            <rFont val="Tahoma"/>
            <family val="2"/>
          </rPr>
          <t xml:space="preserve">FCDE : </t>
        </r>
      </text>
    </comment>
    <comment ref="Q47" authorId="1">
      <text>
        <r>
          <rPr>
            <b/>
            <sz val="9"/>
            <rFont val="Tahoma"/>
            <family val="2"/>
          </rPr>
          <t>CASSA VINCOLATA</t>
        </r>
      </text>
    </comment>
    <comment ref="Q48" authorId="1">
      <text>
        <r>
          <rPr>
            <b/>
            <sz val="9"/>
            <rFont val="Tahoma"/>
            <family val="2"/>
          </rPr>
          <t>CASSA VINCOLATA</t>
        </r>
      </text>
    </comment>
    <comment ref="Q49" authorId="1">
      <text>
        <r>
          <rPr>
            <b/>
            <sz val="9"/>
            <rFont val="Tahoma"/>
            <family val="2"/>
          </rPr>
          <t>CASSA VINCOLATA</t>
        </r>
      </text>
    </comment>
    <comment ref="Q50" authorId="1">
      <text>
        <r>
          <rPr>
            <b/>
            <sz val="9"/>
            <rFont val="Tahoma"/>
            <family val="2"/>
          </rPr>
          <t>CASSA VINCOLATA</t>
        </r>
      </text>
    </comment>
    <comment ref="Q58" authorId="1">
      <text>
        <r>
          <rPr>
            <b/>
            <sz val="9"/>
            <rFont val="Tahoma"/>
            <family val="2"/>
          </rPr>
          <t>CASSA VINCOLATA</t>
        </r>
      </text>
    </comment>
    <comment ref="N12" authorId="0">
      <text>
        <r>
          <rPr>
            <b/>
            <sz val="9"/>
            <rFont val="Tahoma"/>
            <family val="2"/>
          </rPr>
          <t xml:space="preserve">FCDE : </t>
        </r>
      </text>
    </comment>
    <comment ref="K23" authorId="1">
      <text>
        <r>
          <rPr>
            <b/>
            <sz val="9"/>
            <rFont val="Tahoma"/>
            <family val="2"/>
          </rPr>
          <t xml:space="preserve">Dati 2022 :
- IMU Immobili merce euro 3.063,27
- Imu esenzione fbbr.rurali euro 44.016,49
- Irpef 5 per mille euro 3.879,16
</t>
        </r>
      </text>
    </comment>
    <comment ref="M23" authorId="1">
      <text>
        <r>
          <rPr>
            <b/>
            <sz val="9"/>
            <rFont val="Tahoma"/>
            <family val="2"/>
          </rPr>
          <t xml:space="preserve">Dati 2022 :
- IMU Immobili merce euro 3.063,27
- Imu esenzione fabbr.rurali euro 44.016,49
- Irpef 5 per mille euro 3.879,16
</t>
        </r>
      </text>
    </comment>
    <comment ref="N23" authorId="1">
      <text>
        <r>
          <rPr>
            <b/>
            <sz val="9"/>
            <rFont val="Tahoma"/>
            <family val="2"/>
          </rPr>
          <t xml:space="preserve">Dati 2022 :
- IMU Immobili merce euro 3.063,27
- Imu esenzione fabbr.rurali euro 44.016,49
- Irpef 5 per mille euro 3.879,16
</t>
        </r>
      </text>
    </comment>
    <comment ref="K87" authorId="0">
      <text>
        <r>
          <rPr>
            <b/>
            <sz val="9"/>
            <rFont val="Tahoma"/>
            <family val="2"/>
          </rPr>
          <t xml:space="preserve">FCDE : </t>
        </r>
      </text>
    </comment>
    <comment ref="M87" authorId="0">
      <text>
        <r>
          <rPr>
            <b/>
            <sz val="9"/>
            <rFont val="Tahoma"/>
            <family val="2"/>
          </rPr>
          <t xml:space="preserve">FCDE : </t>
        </r>
      </text>
    </comment>
    <comment ref="N87" authorId="0">
      <text>
        <r>
          <rPr>
            <b/>
            <sz val="9"/>
            <rFont val="Tahoma"/>
            <family val="2"/>
          </rPr>
          <t xml:space="preserve">FCDE : </t>
        </r>
      </text>
    </comment>
    <comment ref="K86" authorId="1">
      <text>
        <r>
          <rPr>
            <b/>
            <sz val="9"/>
            <rFont val="Tahoma"/>
            <family val="2"/>
          </rPr>
          <t xml:space="preserve">FCDE : </t>
        </r>
      </text>
    </comment>
    <comment ref="M86" authorId="1">
      <text>
        <r>
          <rPr>
            <b/>
            <sz val="9"/>
            <rFont val="Tahoma"/>
            <family val="2"/>
          </rPr>
          <t xml:space="preserve">FCDE : </t>
        </r>
      </text>
    </comment>
    <comment ref="N86" authorId="1">
      <text>
        <r>
          <rPr>
            <b/>
            <sz val="9"/>
            <rFont val="Tahoma"/>
            <family val="2"/>
          </rPr>
          <t xml:space="preserve">FCDE : </t>
        </r>
      </text>
    </comment>
  </commentList>
</comments>
</file>

<file path=xl/comments10.xml><?xml version="1.0" encoding="utf-8"?>
<comments xmlns="http://schemas.openxmlformats.org/spreadsheetml/2006/main">
  <authors>
    <author>Bruno</author>
  </authors>
  <commentList>
    <comment ref="C26" authorId="0">
      <text>
        <r>
          <rPr>
            <b/>
            <sz val="9"/>
            <rFont val="Tahoma"/>
            <family val="2"/>
          </rPr>
          <t>FCDE da consuntivo 2020 euro 220.406,95
più
FCDE assestato 2021 al 30.11.2021 euro 58.903,00
Totale euro 279.309,95</t>
        </r>
      </text>
    </comment>
    <comment ref="C31" authorId="0">
      <text>
        <r>
          <rPr>
            <b/>
            <sz val="9"/>
            <rFont val="Tahoma"/>
            <family val="2"/>
          </rPr>
          <t>Indennità fine mandato sindaco da consuntivo 2020 euro 12.854,37</t>
        </r>
      </text>
    </comment>
    <comment ref="C35" authorId="0">
      <text>
        <r>
          <rPr>
            <b/>
            <sz val="9"/>
            <rFont val="Tahoma"/>
            <family val="2"/>
          </rPr>
          <t>Fondo emergenza COVID da consuntivo 2020 euro 64.188,58</t>
        </r>
      </text>
    </comment>
    <comment ref="C36" authorId="0">
      <text>
        <r>
          <rPr>
            <b/>
            <sz val="9"/>
            <rFont val="Tahoma"/>
            <family val="2"/>
          </rPr>
          <t>Fondo emergenza COVID da consuntivo 2020 euro 266,11</t>
        </r>
      </text>
    </comment>
    <comment ref="C38" authorId="0">
      <text>
        <r>
          <rPr>
            <b/>
            <sz val="9"/>
            <rFont val="Tahoma"/>
            <family val="2"/>
          </rPr>
          <t>fondo rinnovi CCNL anni 2019 e 2020 da consuntivo 2020 euro 11.765,00
più
fondi rinnovi CCNL anno 2021 da assestato 2021 euro 14.000,00</t>
        </r>
      </text>
    </comment>
    <comment ref="C43" authorId="0">
      <text>
        <r>
          <rPr>
            <b/>
            <sz val="9"/>
            <rFont val="Tahoma"/>
            <family val="2"/>
          </rPr>
          <t>da consuntivo 2020 euro 2.027,36</t>
        </r>
      </text>
    </comment>
  </commentList>
</comments>
</file>

<file path=xl/comments2.xml><?xml version="1.0" encoding="utf-8"?>
<comments xmlns="http://schemas.openxmlformats.org/spreadsheetml/2006/main">
  <authors>
    <author>Bruno Lazzarini</author>
    <author>Bruno</author>
  </authors>
  <commentList>
    <comment ref="N280" authorId="0">
      <text>
        <r>
          <rPr>
            <b/>
            <sz val="10"/>
            <rFont val="Tahoma"/>
            <family val="2"/>
          </rPr>
          <t>Indennità fine mandato sindaco euro 2.689,19 + Irap euro 228,58 = 2.917,77</t>
        </r>
      </text>
    </comment>
    <comment ref="G275" authorId="0">
      <text>
        <r>
          <rPr>
            <b/>
            <sz val="9"/>
            <rFont val="Tahoma"/>
            <family val="2"/>
          </rPr>
          <t>minimo 0,30% e massimo 2% del totale delle spese correnti (metà della quota minima riservata a copertura di "spese non prevedibili" - Art. 166, c. 2/bis, TUEL</t>
        </r>
      </text>
    </comment>
    <comment ref="N275" authorId="0">
      <text>
        <r>
          <rPr>
            <b/>
            <sz val="9"/>
            <rFont val="Tahoma"/>
            <family val="2"/>
          </rPr>
          <t>importo minimo (0,30%) euro 6.588,00
importo massimo (2%) euro 43.915,00</t>
        </r>
      </text>
    </comment>
    <comment ref="R314" authorId="0">
      <text>
        <r>
          <rPr>
            <b/>
            <sz val="9"/>
            <rFont val="Tahoma"/>
            <family val="2"/>
          </rPr>
          <t>finanziamento con oneri</t>
        </r>
      </text>
    </comment>
    <comment ref="T276" authorId="0">
      <text>
        <r>
          <rPr>
            <b/>
            <sz val="9"/>
            <color indexed="10"/>
            <rFont val="Tahoma"/>
            <family val="2"/>
          </rPr>
          <t>l'importo da iscrivere è pari al 0,2%  (minimo) delle previsioni di cassa delle Spese Finali (Titoli 1, 2 e 3) Art. 166 TUEL</t>
        </r>
      </text>
    </comment>
    <comment ref="V135" authorId="1">
      <text>
        <r>
          <rPr>
            <b/>
            <sz val="9"/>
            <rFont val="Tahoma"/>
            <family val="2"/>
          </rPr>
          <t>CASSA VINCOLATA</t>
        </r>
      </text>
    </comment>
    <comment ref="V134" authorId="1">
      <text>
        <r>
          <rPr>
            <b/>
            <sz val="9"/>
            <rFont val="Tahoma"/>
            <family val="2"/>
          </rPr>
          <t>CASSA VINCOLATA</t>
        </r>
      </text>
    </comment>
    <comment ref="V253" authorId="1">
      <text>
        <r>
          <rPr>
            <b/>
            <sz val="9"/>
            <rFont val="Tahoma"/>
            <family val="2"/>
          </rPr>
          <t>CASSA VINCOLATA</t>
        </r>
      </text>
    </comment>
    <comment ref="V229" authorId="1">
      <text>
        <r>
          <rPr>
            <b/>
            <sz val="9"/>
            <rFont val="Tahoma"/>
            <family val="2"/>
          </rPr>
          <t>CASSA VINCOLATA</t>
        </r>
      </text>
    </comment>
    <comment ref="V238" authorId="1">
      <text>
        <r>
          <rPr>
            <b/>
            <sz val="9"/>
            <rFont val="Tahoma"/>
            <family val="2"/>
          </rPr>
          <t>CASSA VINCOLATA</t>
        </r>
      </text>
    </comment>
    <comment ref="N11" authorId="1">
      <text>
        <r>
          <rPr>
            <b/>
            <sz val="9"/>
            <rFont val="Tahoma"/>
            <family val="2"/>
          </rPr>
          <t>- Nardin euro 2.689,19x12= 32.270,28
- Bovo Michele euro 537,84x12= 6.454,06
- Rizzo Nicoletta euro 201,69x12= 2.420,27
- Tonello Loreta euro 201,69x12=2.420,27
- Tonello Roberto euro 201,69x12=2.420,27
TOTALE EURO 45.985,15
Gettoni consiglieri euro : zero</t>
        </r>
      </text>
    </comment>
    <comment ref="V236" authorId="1">
      <text>
        <r>
          <rPr>
            <b/>
            <sz val="9"/>
            <rFont val="Tahoma"/>
            <family val="2"/>
          </rPr>
          <t>CASSA VINCOLATA</t>
        </r>
      </text>
    </comment>
    <comment ref="P157" authorId="1">
      <text>
        <r>
          <rPr>
            <b/>
            <sz val="9"/>
            <rFont val="Tahoma"/>
            <family val="2"/>
          </rPr>
          <t>COMPRESO NUOVO MUTUO I.C.S.</t>
        </r>
      </text>
    </comment>
    <comment ref="R157" authorId="1">
      <text>
        <r>
          <rPr>
            <b/>
            <sz val="9"/>
            <rFont val="Tahoma"/>
            <family val="2"/>
          </rPr>
          <t>COMPRESO NUOVO  MUTUO I.C.S.</t>
        </r>
      </text>
    </comment>
    <comment ref="P449" authorId="1">
      <text>
        <r>
          <rPr>
            <b/>
            <sz val="9"/>
            <rFont val="Tahoma"/>
            <family val="2"/>
          </rPr>
          <t>CDP euro 87.710,00
MEF euro 38.360,00
ICS euro 5.945,00</t>
        </r>
      </text>
    </comment>
    <comment ref="R449" authorId="1">
      <text>
        <r>
          <rPr>
            <b/>
            <sz val="9"/>
            <rFont val="Tahoma"/>
            <family val="2"/>
          </rPr>
          <t>CDP euro 91.325,00
ICS euro 6.125,00</t>
        </r>
      </text>
    </comment>
    <comment ref="P11" authorId="1">
      <text>
        <r>
          <rPr>
            <b/>
            <sz val="9"/>
            <rFont val="Tahoma"/>
            <family val="2"/>
          </rPr>
          <t>- Nardin euro 3.036,00x12= 36.432,00
- Bovo Michele euro 607,20x12= 7.286,40
- Rizzo Nicoletta euro 227,70x12= 2.732,40
- Tonello Loreta euro 227,70x12=2.732,40
- Tonello Roberto euro 227,70x12=2.732,40
TOTALE EURO 51.915,60
Gettoni consiglieri euro : zero</t>
        </r>
      </text>
    </comment>
    <comment ref="R11" authorId="1">
      <text>
        <r>
          <rPr>
            <b/>
            <sz val="9"/>
            <rFont val="Tahoma"/>
            <family val="2"/>
          </rPr>
          <t>COME 2024</t>
        </r>
      </text>
    </comment>
    <comment ref="R280" authorId="1">
      <text>
        <r>
          <rPr>
            <b/>
            <sz val="9"/>
            <rFont val="Tahoma"/>
            <family val="2"/>
          </rPr>
          <t>COME 2024</t>
        </r>
      </text>
    </comment>
    <comment ref="P280" authorId="1">
      <text>
        <r>
          <rPr>
            <b/>
            <sz val="10"/>
            <rFont val="Tahoma"/>
            <family val="2"/>
          </rPr>
          <t>Indennità fine mandato sindaco euro 3.036,00 + Irap euro 258,06 = 3.294,06</t>
        </r>
      </text>
    </comment>
    <comment ref="N281" authorId="1">
      <text>
        <r>
          <rPr>
            <b/>
            <sz val="9"/>
            <rFont val="Tahoma"/>
            <family val="2"/>
          </rPr>
          <t>Dipendenti euro 7.700,00
Segretario euro 3.000,00</t>
        </r>
      </text>
    </comment>
    <comment ref="P281" authorId="1">
      <text>
        <r>
          <rPr>
            <b/>
            <sz val="9"/>
            <rFont val="Tahoma"/>
            <family val="2"/>
          </rPr>
          <t>Dipendenti euro 15.500,00
Segretario euro 6.000,00</t>
        </r>
      </text>
    </comment>
    <comment ref="R281" authorId="1">
      <text>
        <r>
          <rPr>
            <b/>
            <sz val="9"/>
            <rFont val="Tahoma"/>
            <family val="2"/>
          </rPr>
          <t>Dipendenti euro 25.500,00
Segretario euro 10.000,00</t>
        </r>
      </text>
    </comment>
    <comment ref="N449" authorId="1">
      <text>
        <r>
          <rPr>
            <b/>
            <sz val="9"/>
            <rFont val="Tahoma"/>
            <family val="2"/>
          </rPr>
          <t>CDP euro 84.260,00
MEF euro 35.280,00</t>
        </r>
      </text>
    </comment>
    <comment ref="P342" authorId="1">
      <text>
        <r>
          <rPr>
            <b/>
            <sz val="9"/>
            <rFont val="Tahoma"/>
            <family val="2"/>
          </rPr>
          <t>Entrata capitoli 982+1050</t>
        </r>
      </text>
    </comment>
    <comment ref="R345" authorId="1">
      <text>
        <r>
          <rPr>
            <b/>
            <sz val="9"/>
            <rFont val="Tahoma"/>
            <family val="2"/>
          </rPr>
          <t>Entrata capitoli 977/6+1050</t>
        </r>
      </text>
    </comment>
    <comment ref="V252" authorId="1">
      <text>
        <r>
          <rPr>
            <b/>
            <sz val="9"/>
            <rFont val="Tahoma"/>
            <family val="2"/>
          </rPr>
          <t>CASSA VINCOLATA</t>
        </r>
      </text>
    </comment>
    <comment ref="N76" authorId="1">
      <text>
        <r>
          <rPr>
            <b/>
            <sz val="9"/>
            <color indexed="10"/>
            <rFont val="Tahoma"/>
            <family val="2"/>
          </rPr>
          <t>ENTRATA E SPESA POSTICIPATE AL 2023 (PNRR)</t>
        </r>
      </text>
    </comment>
  </commentList>
</comments>
</file>

<file path=xl/comments3.xml><?xml version="1.0" encoding="utf-8"?>
<comments xmlns="http://schemas.openxmlformats.org/spreadsheetml/2006/main">
  <authors>
    <author>Bruno</author>
  </authors>
  <commentList>
    <comment ref="B3" authorId="0">
      <text>
        <r>
          <rPr>
            <b/>
            <sz val="9"/>
            <rFont val="Tahoma"/>
            <family val="2"/>
          </rPr>
          <t>DATO AL 17.01.2023</t>
        </r>
      </text>
    </comment>
  </commentList>
</comments>
</file>

<file path=xl/comments8.xml><?xml version="1.0" encoding="utf-8"?>
<comments xmlns="http://schemas.openxmlformats.org/spreadsheetml/2006/main">
  <authors>
    <author>Comune di Camisano</author>
  </authors>
  <commentList>
    <comment ref="A33" authorId="0">
      <text>
        <r>
          <rPr>
            <b/>
            <sz val="8"/>
            <rFont val="Tahoma"/>
            <family val="2"/>
          </rPr>
          <t>ONERI DI URBANIZZAZIONE</t>
        </r>
      </text>
    </comment>
  </commentList>
</comments>
</file>

<file path=xl/sharedStrings.xml><?xml version="1.0" encoding="utf-8"?>
<sst xmlns="http://schemas.openxmlformats.org/spreadsheetml/2006/main" count="1976" uniqueCount="1181">
  <si>
    <t>Fornitura testi alunni scuole</t>
  </si>
  <si>
    <t>Servizio sorveglianza alunni</t>
  </si>
  <si>
    <t>differenze</t>
  </si>
  <si>
    <t>Prelievi da depositi bancari (mutui Cassa DD.PP.)</t>
  </si>
  <si>
    <t>Versamenti a depositi bancari (mutui Cassa DD.PP.)</t>
  </si>
  <si>
    <t>PREVISIONE SITUAZIONE DI CASSA</t>
  </si>
  <si>
    <t>4.02.01.02.000</t>
  </si>
  <si>
    <t>1.02.01.99.000</t>
  </si>
  <si>
    <t>101</t>
  </si>
  <si>
    <t>Titolo</t>
  </si>
  <si>
    <t>Tipologia</t>
  </si>
  <si>
    <t>TOTALE TITOLO 2 - ENTRATE DA TRASFERIMENTI</t>
  </si>
  <si>
    <t>TITOLO 2 - ENTRATE DA TRASFERIMENTI</t>
  </si>
  <si>
    <t>TOTALE TITOLO 1 - ENTRATE DI NATURA TRIBUTARIA, CONTRIBUTIVA E PEREQUATIVA</t>
  </si>
  <si>
    <t>TITOLO 1 - ENTRATE CORRENTI DI NATURA TRIBUTARIA, CONTRIBUTIVA E PEREQUATIVA</t>
  </si>
  <si>
    <t>TITOLO 3 - ENTRATE EXTRATRIBUTARIE</t>
  </si>
  <si>
    <t>301</t>
  </si>
  <si>
    <t>TOTALE TITOLO 3 - ENTRATE EXTRATRIBUTARIE</t>
  </si>
  <si>
    <t>TITOLO 4 - ENTRATE IN CONTO CAPITALE</t>
  </si>
  <si>
    <t>TOTALE TITOLO 4 - ENTRATE IN CONTO CAPITALE</t>
  </si>
  <si>
    <t>603</t>
  </si>
  <si>
    <t>TOTALE TITOLO 6 - ACCENSIONE PRESTITI</t>
  </si>
  <si>
    <t>TITOLO 7 - ANTICIPAZIONI DA ISTITUTO TESORIERE/CASSIERE</t>
  </si>
  <si>
    <t>701</t>
  </si>
  <si>
    <t>TITOLO 9 - ENTRATE PER CONTO TERZI E PARTITE DI GIRO</t>
  </si>
  <si>
    <t>901</t>
  </si>
  <si>
    <t>902</t>
  </si>
  <si>
    <t>TITOLO 6 - ACCENSIONE PRESTITI</t>
  </si>
  <si>
    <t>TITOLO 1 - SPESE CORRENTI</t>
  </si>
  <si>
    <t>TOTALE MISSIONE 1 - SERVIZI ISTITUZIONALI, GENERALI E DI GESTIONE</t>
  </si>
  <si>
    <t>MISSIONE 1 - SERVIZI ISTITUZIONALI, GENERALI E DI GESTIONE</t>
  </si>
  <si>
    <t>MISSIONE 3 - ORDINE PUBBLICO E SICUREZZA</t>
  </si>
  <si>
    <t>TOTALE MISSIONE 3 - ORDINE PUBBLICO E SICUREZZA</t>
  </si>
  <si>
    <r>
      <t>TOTALE PROGRAMMA 1</t>
    </r>
    <r>
      <rPr>
        <b/>
        <sz val="10"/>
        <color indexed="12"/>
        <rFont val="Arial"/>
        <family val="2"/>
      </rPr>
      <t xml:space="preserve"> (Organi istituzionali)</t>
    </r>
  </si>
  <si>
    <r>
      <t>TOTALE PROGRAMMA 2</t>
    </r>
    <r>
      <rPr>
        <b/>
        <sz val="10"/>
        <color indexed="12"/>
        <rFont val="Arial"/>
        <family val="2"/>
      </rPr>
      <t xml:space="preserve"> (Segreteria generale)</t>
    </r>
  </si>
  <si>
    <r>
      <t>TOTALE PROGRAMMA 3</t>
    </r>
    <r>
      <rPr>
        <b/>
        <sz val="10"/>
        <color indexed="12"/>
        <rFont val="Arial"/>
        <family val="2"/>
      </rPr>
      <t xml:space="preserve"> (Gestione economica, finanziaria, programmazione, provveditorato)</t>
    </r>
  </si>
  <si>
    <r>
      <t xml:space="preserve">TOTALE PROGRAMMA 4 </t>
    </r>
    <r>
      <rPr>
        <b/>
        <sz val="10"/>
        <color indexed="12"/>
        <rFont val="Arial"/>
        <family val="2"/>
      </rPr>
      <t>(Gestione delle entrate tributarie e servizi fiscali)</t>
    </r>
  </si>
  <si>
    <r>
      <t>TOTALE PROGRAMMA 5</t>
    </r>
    <r>
      <rPr>
        <b/>
        <sz val="10"/>
        <color indexed="12"/>
        <rFont val="Arial"/>
        <family val="2"/>
      </rPr>
      <t xml:space="preserve"> (Gestione dei beni demaniali e patrimoniali)</t>
    </r>
  </si>
  <si>
    <r>
      <t xml:space="preserve">TOTALE PROGRAMMA 6 </t>
    </r>
    <r>
      <rPr>
        <b/>
        <sz val="10"/>
        <color indexed="12"/>
        <rFont val="Arial"/>
        <family val="2"/>
      </rPr>
      <t>(Ufficio tecnico)</t>
    </r>
  </si>
  <si>
    <r>
      <t>TOTALE PROGRAMMA 7</t>
    </r>
    <r>
      <rPr>
        <b/>
        <sz val="10"/>
        <color indexed="12"/>
        <rFont val="Arial"/>
        <family val="2"/>
      </rPr>
      <t xml:space="preserve"> (Elezioni e consultazioni popolari - Anagrafe e stato civile)</t>
    </r>
  </si>
  <si>
    <r>
      <t>TOTALE PROGRAMMA 8</t>
    </r>
    <r>
      <rPr>
        <b/>
        <sz val="10"/>
        <color indexed="12"/>
        <rFont val="Arial"/>
        <family val="2"/>
      </rPr>
      <t xml:space="preserve"> (Servizio statistico e sistemi informativi)</t>
    </r>
  </si>
  <si>
    <r>
      <t xml:space="preserve">TOTALE PROGRAMMA 10 </t>
    </r>
    <r>
      <rPr>
        <b/>
        <sz val="10"/>
        <color indexed="12"/>
        <rFont val="Arial"/>
        <family val="2"/>
      </rPr>
      <t>(Risorse umane)</t>
    </r>
  </si>
  <si>
    <r>
      <t xml:space="preserve">TOTALE PROGRAMMA 11 </t>
    </r>
    <r>
      <rPr>
        <b/>
        <sz val="10"/>
        <color indexed="12"/>
        <rFont val="Arial"/>
        <family val="2"/>
      </rPr>
      <t>(Altri servizi generali)</t>
    </r>
  </si>
  <si>
    <t>MISSIONE 4 - ISTRUZIONE E DIRITTO ALLO STUDIO</t>
  </si>
  <si>
    <t>TOTALE MISSIONE 4 - ISTRUZIONE E DIRITTO ALLO STUDIO</t>
  </si>
  <si>
    <r>
      <t xml:space="preserve">TOTALE </t>
    </r>
    <r>
      <rPr>
        <b/>
        <sz val="10"/>
        <rFont val="Arial"/>
        <family val="2"/>
      </rPr>
      <t>PROGRAMMA 2</t>
    </r>
    <r>
      <rPr>
        <b/>
        <sz val="10"/>
        <color indexed="12"/>
        <rFont val="Arial"/>
        <family val="2"/>
      </rPr>
      <t xml:space="preserve"> (Attività culturale e interventi diversi nel settore culturale)</t>
    </r>
  </si>
  <si>
    <t>MISSIONE 5 - TUTELA E VALORIZZAZIONE DEI BENI E ATTIVITA' CULTURALI</t>
  </si>
  <si>
    <t>TOTALE MISSIONE 5 - TUTELA E VALORIZZAZIONE DEI BENI E ATTIVITA' CULTURALI</t>
  </si>
  <si>
    <t>MISSIONE 6 - POLITICHE GIOVANILI, SPORT E TEMPO LIBERO</t>
  </si>
  <si>
    <r>
      <t>TOTALE</t>
    </r>
    <r>
      <rPr>
        <b/>
        <sz val="10"/>
        <rFont val="Arial"/>
        <family val="2"/>
      </rPr>
      <t xml:space="preserve"> PROGRAMMA 1 </t>
    </r>
    <r>
      <rPr>
        <b/>
        <sz val="10"/>
        <color indexed="12"/>
        <rFont val="Arial"/>
        <family val="2"/>
      </rPr>
      <t>(Sport e tempo libero)</t>
    </r>
  </si>
  <si>
    <r>
      <t xml:space="preserve">TOTALE </t>
    </r>
    <r>
      <rPr>
        <b/>
        <sz val="10"/>
        <rFont val="Arial"/>
        <family val="2"/>
      </rPr>
      <t xml:space="preserve">PROGRAMMA 2 </t>
    </r>
    <r>
      <rPr>
        <b/>
        <sz val="10"/>
        <color indexed="12"/>
        <rFont val="Arial"/>
        <family val="2"/>
      </rPr>
      <t>(Attività culturali e interventi diversi nel settore culturale)</t>
    </r>
  </si>
  <si>
    <t>TOTALE MISSIONE 6 - POLITICHE GIOVANILI, SPORT E TEMPO LIBERO</t>
  </si>
  <si>
    <t>MISSIONE 8 - ASSETTO DEL TERRITORIO ED EDILIZIA ABITATIVA</t>
  </si>
  <si>
    <r>
      <t xml:space="preserve">TOTALE </t>
    </r>
    <r>
      <rPr>
        <b/>
        <sz val="10"/>
        <rFont val="Arial"/>
        <family val="2"/>
      </rPr>
      <t>PROGRAMMA 1</t>
    </r>
    <r>
      <rPr>
        <b/>
        <sz val="10"/>
        <color indexed="12"/>
        <rFont val="Arial"/>
        <family val="2"/>
      </rPr>
      <t xml:space="preserve"> (Urbanistica e assetto del territorio)</t>
    </r>
  </si>
  <si>
    <r>
      <t xml:space="preserve">TOTALE </t>
    </r>
    <r>
      <rPr>
        <b/>
        <sz val="10"/>
        <rFont val="Arial"/>
        <family val="2"/>
      </rPr>
      <t>PROGRAMMA 2</t>
    </r>
    <r>
      <rPr>
        <b/>
        <sz val="10"/>
        <color indexed="12"/>
        <rFont val="Arial"/>
        <family val="2"/>
      </rPr>
      <t xml:space="preserve"> (Edilizia residenziale pubblica e locale e piani di edilizia economico-popolare)</t>
    </r>
  </si>
  <si>
    <r>
      <t xml:space="preserve">TOTALE </t>
    </r>
    <r>
      <rPr>
        <b/>
        <sz val="10"/>
        <rFont val="Arial"/>
        <family val="2"/>
      </rPr>
      <t>PROGRAMMA 1</t>
    </r>
    <r>
      <rPr>
        <b/>
        <sz val="10"/>
        <color indexed="12"/>
        <rFont val="Arial"/>
        <family val="2"/>
      </rPr>
      <t xml:space="preserve"> (Difesa del suolo)</t>
    </r>
  </si>
  <si>
    <r>
      <t xml:space="preserve">TOTALE </t>
    </r>
    <r>
      <rPr>
        <b/>
        <sz val="10"/>
        <rFont val="Arial"/>
        <family val="2"/>
      </rPr>
      <t xml:space="preserve">PROGRAMMA 2 </t>
    </r>
    <r>
      <rPr>
        <b/>
        <sz val="10"/>
        <color indexed="12"/>
        <rFont val="Arial"/>
        <family val="2"/>
      </rPr>
      <t>(Tutela, valorizzazione e recupero ambientale)</t>
    </r>
  </si>
  <si>
    <r>
      <t>TOTALE</t>
    </r>
    <r>
      <rPr>
        <b/>
        <sz val="10"/>
        <rFont val="Arial"/>
        <family val="2"/>
      </rPr>
      <t xml:space="preserve"> PROGRAMMA 3 </t>
    </r>
    <r>
      <rPr>
        <b/>
        <sz val="10"/>
        <color indexed="12"/>
        <rFont val="Arial"/>
        <family val="2"/>
      </rPr>
      <t>(Rifiuti)</t>
    </r>
  </si>
  <si>
    <r>
      <t xml:space="preserve">TOTALE </t>
    </r>
    <r>
      <rPr>
        <b/>
        <sz val="10"/>
        <rFont val="Arial"/>
        <family val="2"/>
      </rPr>
      <t xml:space="preserve">PROGRAMMA 4 </t>
    </r>
    <r>
      <rPr>
        <b/>
        <sz val="10"/>
        <color indexed="12"/>
        <rFont val="Arial"/>
        <family val="2"/>
      </rPr>
      <t>(Servizio idrico integrato)</t>
    </r>
  </si>
  <si>
    <t>TOTALE MISSIONE 8 - ASSETTO DEL TERRITORIO ED EDILIZIA ABITATIVA</t>
  </si>
  <si>
    <t>TOTALE MISSIONE 9 - SVILUPPO SOSTENIBILE E TUTELA DEL TERRITORIO E DELL'AMBIENTE</t>
  </si>
  <si>
    <t>MISSIONE 9 - SVILUPPO SOSTENIBILE E TUTELA DEL TERRITORIO E DELL'AMBIENTE</t>
  </si>
  <si>
    <t>MISSIONE 10 - TRASPORTI E DIRITTO ALLA MOBILITA'</t>
  </si>
  <si>
    <r>
      <t xml:space="preserve">TOTALE </t>
    </r>
    <r>
      <rPr>
        <b/>
        <sz val="10"/>
        <rFont val="Arial"/>
        <family val="2"/>
      </rPr>
      <t>PROGRAMMA 5</t>
    </r>
    <r>
      <rPr>
        <b/>
        <sz val="10"/>
        <color indexed="12"/>
        <rFont val="Arial"/>
        <family val="2"/>
      </rPr>
      <t xml:space="preserve"> (Viabilità e infrastrutture stradali)</t>
    </r>
  </si>
  <si>
    <r>
      <t xml:space="preserve">TOTALE </t>
    </r>
    <r>
      <rPr>
        <b/>
        <sz val="10"/>
        <rFont val="Arial"/>
        <family val="2"/>
      </rPr>
      <t xml:space="preserve">PROGRAMMA 1 </t>
    </r>
    <r>
      <rPr>
        <b/>
        <sz val="10"/>
        <color indexed="12"/>
        <rFont val="Arial"/>
        <family val="2"/>
      </rPr>
      <t>(Sistema di protezione civile)</t>
    </r>
  </si>
  <si>
    <t>TOTALE MISSIONE 10 - TRASPORTI E DIRITTO ALLA MOBILITA'</t>
  </si>
  <si>
    <t>MISSIONE 11 - SOCCORSO CIVILE</t>
  </si>
  <si>
    <t>TOTALE MISSIONE 11 - SOCCORSO CIVILE</t>
  </si>
  <si>
    <t>MISSIONE 12 - DIRITTI SOCIALI, POLITICHE SOCIALI E FAMIGLIA</t>
  </si>
  <si>
    <t>TOTALE MISSIONE 12 - DIRITTI SOCIALI, POLITICHE SOCIALI E FAMIGLIA</t>
  </si>
  <si>
    <r>
      <t xml:space="preserve">TOTALE </t>
    </r>
    <r>
      <rPr>
        <b/>
        <sz val="10"/>
        <rFont val="Arial"/>
        <family val="2"/>
      </rPr>
      <t xml:space="preserve">PROGRAMMA 1 </t>
    </r>
    <r>
      <rPr>
        <b/>
        <sz val="10"/>
        <color indexed="12"/>
        <rFont val="Arial"/>
        <family val="2"/>
      </rPr>
      <t>(Interventi per l'infanzia e i minori e per asili nido)</t>
    </r>
  </si>
  <si>
    <r>
      <t xml:space="preserve">TOTALE </t>
    </r>
    <r>
      <rPr>
        <b/>
        <sz val="10"/>
        <rFont val="Arial"/>
        <family val="2"/>
      </rPr>
      <t>PROGRAMMA 3</t>
    </r>
    <r>
      <rPr>
        <b/>
        <sz val="10"/>
        <color indexed="12"/>
        <rFont val="Arial"/>
        <family val="2"/>
      </rPr>
      <t xml:space="preserve"> (Interventi per gli anziani)</t>
    </r>
  </si>
  <si>
    <t>TOTALE TITOLO 1 - SPESE CORRENTI</t>
  </si>
  <si>
    <t>TITOLO 2 - SPESE IN CONTO CAPITALE</t>
  </si>
  <si>
    <t>TOTALE TITOLO 2 - SPESE IN CONTO CAPITALE</t>
  </si>
  <si>
    <t>TITOLO 5 - CHIUSURA ANTICIPAZIONI RICEVUTE DA ISTITUTO TESORIERE/CASSIERE</t>
  </si>
  <si>
    <t>TOTALE TITOLO 5 - CHIUSURA ANTICIPAZIONI RICEVUTE DA ISTITUTO TESORIERE/CASSIERE</t>
  </si>
  <si>
    <t>TITOLO 7 - SERVIZI PER CONTO TERZI</t>
  </si>
  <si>
    <t>TOTALE TITOLO 7 - SERVIZI PER CONTO TERZI</t>
  </si>
  <si>
    <t>Missione</t>
  </si>
  <si>
    <t>Programma</t>
  </si>
  <si>
    <t>TOTALE TITOLO IX - ENTRATE PER CONTO TERZI E PARTITE DI GIRO</t>
  </si>
  <si>
    <t>6.03.01.04.000</t>
  </si>
  <si>
    <t>5.01.01.01.000</t>
  </si>
  <si>
    <t>2.04.21.02.000</t>
  </si>
  <si>
    <t>3.05.02.03.000</t>
  </si>
  <si>
    <t>3.05.99.99.000</t>
  </si>
  <si>
    <t>4.04.02.01.000</t>
  </si>
  <si>
    <t>4.05.01.01.000</t>
  </si>
  <si>
    <t>7.01.01.01.000</t>
  </si>
  <si>
    <t>9.01.01.01.000</t>
  </si>
  <si>
    <t>9.02.04.01.000</t>
  </si>
  <si>
    <t>9.01.99.03.000</t>
  </si>
  <si>
    <t>1.01.01.53.000</t>
  </si>
  <si>
    <t>9.01.02.99.000</t>
  </si>
  <si>
    <t>Spese rappresentanza (beni e servizi)</t>
  </si>
  <si>
    <t>1.01.01.01.000</t>
  </si>
  <si>
    <t>1.01.02.01.000</t>
  </si>
  <si>
    <t>1.03.01.02.000</t>
  </si>
  <si>
    <t>1.04.04.01.000</t>
  </si>
  <si>
    <t>1.03.02.01.000</t>
  </si>
  <si>
    <t>1.03.02.02.000</t>
  </si>
  <si>
    <t>1.03.02.99.000</t>
  </si>
  <si>
    <t>1.03.02.19.000</t>
  </si>
  <si>
    <t>1.02.01.01.000</t>
  </si>
  <si>
    <t>1.04.01.01.000</t>
  </si>
  <si>
    <t>1.03.02.05.000</t>
  </si>
  <si>
    <t>1.03.02.15.000</t>
  </si>
  <si>
    <t>1.03.02.16.000</t>
  </si>
  <si>
    <t>1.03.02.09.000</t>
  </si>
  <si>
    <t>1.03.02.13.000</t>
  </si>
  <si>
    <t>1.03.02.11.000</t>
  </si>
  <si>
    <t>1.03.02.17.000</t>
  </si>
  <si>
    <t>1.04.01.02.000</t>
  </si>
  <si>
    <t>1.09.02.01.000</t>
  </si>
  <si>
    <t>1.10.03.01.000</t>
  </si>
  <si>
    <t>1.07.06.04.000</t>
  </si>
  <si>
    <t>1.03.02.04.000</t>
  </si>
  <si>
    <t>1.01.01.02.000</t>
  </si>
  <si>
    <t>1.02.01.09.000</t>
  </si>
  <si>
    <t>1.10.04.01.000</t>
  </si>
  <si>
    <t>1.10.01.03.000</t>
  </si>
  <si>
    <t>1.10.01.01.000</t>
  </si>
  <si>
    <t>1.07.05.04.000</t>
  </si>
  <si>
    <t>1.04.02.02.000</t>
  </si>
  <si>
    <t>Proventi per concessioni cimiteriali</t>
  </si>
  <si>
    <t>Retribuzioni ufficio segreteria (a tempo indeterminato)</t>
  </si>
  <si>
    <t>Adeguamento ecocentro comunale</t>
  </si>
  <si>
    <t>Rimborso oneri di urbanizzazione</t>
  </si>
  <si>
    <t>2.05.04.05.000</t>
  </si>
  <si>
    <t>Oneri contributivi ufficio segreteria (a tempo indeterminato)</t>
  </si>
  <si>
    <t>Oneri contributivi su salario accessorio</t>
  </si>
  <si>
    <t>IRAP su salario accessorio</t>
  </si>
  <si>
    <t>DESCRIZIONE</t>
  </si>
  <si>
    <t>TOTALE GENERALE ENTRATA</t>
  </si>
  <si>
    <t>TOTALE GENERALE SPESA</t>
  </si>
  <si>
    <t>Imposta Municipale Propria (IMU)</t>
  </si>
  <si>
    <t>Addizionale comunale all'Irpef</t>
  </si>
  <si>
    <t>Titolo 1 - Entrate correnti di natura tributaria, contributiva e perequativa</t>
  </si>
  <si>
    <t>Titolo 2 - Trasferimenti correnti</t>
  </si>
  <si>
    <t>Titolo 3 - Entrate extratributarie</t>
  </si>
  <si>
    <t>Titolo 5 - Entrate da riduzione di attività finanziarie</t>
  </si>
  <si>
    <t>TOTALE ENTRATE</t>
  </si>
  <si>
    <t>TOTALE SPESE</t>
  </si>
  <si>
    <t>SALDI</t>
  </si>
  <si>
    <t>ENTRATA</t>
  </si>
  <si>
    <t>SPESA</t>
  </si>
  <si>
    <t>Imposta pubblicità</t>
  </si>
  <si>
    <t>4.02.01.01.000</t>
  </si>
  <si>
    <t>Diritti di segreteria in materia urbanistica</t>
  </si>
  <si>
    <t>Diritti per rilascio carte d'identità</t>
  </si>
  <si>
    <t>Interessi attivi su somme non erogate Cassa DD.PP.</t>
  </si>
  <si>
    <t>Rimborso da assicurazioni per danni</t>
  </si>
  <si>
    <t>2.02.01.09.000</t>
  </si>
  <si>
    <t>Concorso spese mantenimento infanti</t>
  </si>
  <si>
    <t>2.02.03.05.000</t>
  </si>
  <si>
    <t>Prolungamento pista ciclabile strada Provinciale Grimana</t>
  </si>
  <si>
    <t>Assistenza e beneficenza pubblica serv.div.persona (ADI + Soggiorni climatici)</t>
  </si>
  <si>
    <t>Diritti di segreteria su certificazioni servizi demografici</t>
  </si>
  <si>
    <t>Diritti di rogito su contratti Segretario comunale</t>
  </si>
  <si>
    <t>Sanzioni amministrative violazioni regolamenti comunali, ordinanze, etc.</t>
  </si>
  <si>
    <t>Proventi del servizio di trasporto scolastico</t>
  </si>
  <si>
    <t>Rimborso spese per missioni degli amministratori</t>
  </si>
  <si>
    <t>IRAP su indennità agli amministratori</t>
  </si>
  <si>
    <t>Spese per liti e arbitraggi</t>
  </si>
  <si>
    <t>Servizio di inumazione e tumulazioni</t>
  </si>
  <si>
    <r>
      <t xml:space="preserve">TOTALE PROGRAMMA 1 </t>
    </r>
    <r>
      <rPr>
        <b/>
        <sz val="10"/>
        <color indexed="12"/>
        <rFont val="Arial"/>
        <family val="2"/>
      </rPr>
      <t>(Sport e tempo libero)</t>
    </r>
  </si>
  <si>
    <t>Spese trasporto scolastico effettuato da terzi</t>
  </si>
  <si>
    <t>Trasferimento da Comune di Agugliaro per convenzione segreteria convenzionata</t>
  </si>
  <si>
    <t>Spese per elezioni amministrative (acquisto stampati e cancelleria)</t>
  </si>
  <si>
    <t>Spese per elezioni amministrative (compensi seggi e altre prestazioni)</t>
  </si>
  <si>
    <t>IRAP su compensi lavoro straordinario elezioni amministrative</t>
  </si>
  <si>
    <t>Spese per materiale consumo funzionamento ufficio tecnico</t>
  </si>
  <si>
    <t>Spese per funzionamento C.E.M.</t>
  </si>
  <si>
    <t>Fondo crediti dubbia esigibilità (FCDE)</t>
  </si>
  <si>
    <t>1.10.01.99.000</t>
  </si>
  <si>
    <t>2131/1</t>
  </si>
  <si>
    <t xml:space="preserve"> </t>
  </si>
  <si>
    <t>TOTALE ENTRATE CORRENTI (compreso FPV Entrata per spese correnti)</t>
  </si>
  <si>
    <t>TOTALE SPESE CORRENTI (comprese reimputazioni)</t>
  </si>
  <si>
    <t>avanzo di amministrazione per spese correnti</t>
  </si>
  <si>
    <t>Spese varie funzionamento uffici comunali (utenze)</t>
  </si>
  <si>
    <t>Fondo crediti di dubbia esigibilità</t>
  </si>
  <si>
    <t>2070/15</t>
  </si>
  <si>
    <t>2070/5</t>
  </si>
  <si>
    <t>100</t>
  </si>
  <si>
    <t>200</t>
  </si>
  <si>
    <t>300</t>
  </si>
  <si>
    <t>Codice PdC</t>
  </si>
  <si>
    <t>4.03.01.04.000</t>
  </si>
  <si>
    <t>7.01.02.01.000</t>
  </si>
  <si>
    <t>7.01.03.01.000</t>
  </si>
  <si>
    <t>7.01.02.02.000</t>
  </si>
  <si>
    <t>Versamento della ritenuta del 4% sui contributi pubblici</t>
  </si>
  <si>
    <t>Ritenute su redditi da lavoro dipendente</t>
  </si>
  <si>
    <t>Versamenti di ritenute su redditi da lavoro dipendente</t>
  </si>
  <si>
    <t>Versamenti di ritenute su redditi da lavoro autonomo</t>
  </si>
  <si>
    <t>7.01.02.99.000</t>
  </si>
  <si>
    <t>7.01.99.03.000</t>
  </si>
  <si>
    <t>7.02.99.99.000</t>
  </si>
  <si>
    <t>7.02.04.01.000</t>
  </si>
  <si>
    <t>Ritenute previdenziali al personale</t>
  </si>
  <si>
    <t>Altre ritenute al personale</t>
  </si>
  <si>
    <t>Depositi cauzionali</t>
  </si>
  <si>
    <t>Servizi conto terzi</t>
  </si>
  <si>
    <t>Depositi spese contrattuali</t>
  </si>
  <si>
    <t>Indennità di carica agli Amministratori</t>
  </si>
  <si>
    <t>Contributi associativi annuali vari</t>
  </si>
  <si>
    <t>CASSA</t>
  </si>
  <si>
    <t>CASSA 
ANNO DI RIFERIMENTO DEL BILANCIO 
2016</t>
  </si>
  <si>
    <t>CASSA 
ANNO DI RIFERIMENTO DEL BILANCIO 2016</t>
  </si>
  <si>
    <t>Titolo 1 - Spese correnti (comprese reimputazioni da riaccertamento ordinario residui 2016)</t>
  </si>
  <si>
    <t>1.10.02.01.000</t>
  </si>
  <si>
    <t>2.02.01.10.000</t>
  </si>
  <si>
    <t>2.02.01.99.000</t>
  </si>
  <si>
    <t>Acquisto attrezzature informatiche</t>
  </si>
  <si>
    <t>2.02.01.07.000</t>
  </si>
  <si>
    <t>Retribuzioni ufficio ragioneria</t>
  </si>
  <si>
    <t>Diritti di rogito al segretario</t>
  </si>
  <si>
    <t>TITOLO 5 - ENTRATE DA RIDUZIONE DI ATTIVITA' FINANZIARIE</t>
  </si>
  <si>
    <t>TOTALE TITOLO 5 - ENTRATE DA RIDUZIONE DI ATTIVITA' FINANZIARIE</t>
  </si>
  <si>
    <t>TITOLO 3 - SPESE PER INCREMENTO ATTIVITA' FINANZIARIE</t>
  </si>
  <si>
    <t>TOTALE TITOLO 3 - SPESE PER INCREMENTO ATTIVITA' FINANZIARIE</t>
  </si>
  <si>
    <t>Titolo 6 - Accensione di prestiti</t>
  </si>
  <si>
    <t>Titolo 7 - Anticipazioni da istituto tesoriere/cassiere</t>
  </si>
  <si>
    <t>Titolo 9 - Entrate per conto di terzi e partite di giro</t>
  </si>
  <si>
    <t>Titolo 4 - Rimborso di prestiti</t>
  </si>
  <si>
    <t>Titolo 5 - Chiusura anticipazioni da istituto tesoriere/cassiere</t>
  </si>
  <si>
    <t>Titolo 7 - Spese per conto terzi e partite di giro</t>
  </si>
  <si>
    <t>TOTALE QUOTE CAPITALE MUTUI</t>
  </si>
  <si>
    <t>SALDO</t>
  </si>
  <si>
    <t>IRAP retribuzioni ufficio ragioneria</t>
  </si>
  <si>
    <t>Sgravi e restituzione di tributi</t>
  </si>
  <si>
    <t>Interessi passivi anticipazioni di tesoreria</t>
  </si>
  <si>
    <t>Retribuzioni ufficio tecnico</t>
  </si>
  <si>
    <t>IRAP retribuzioni ufficio tecnico</t>
  </si>
  <si>
    <t>Spese per formazione e qualificazione personale</t>
  </si>
  <si>
    <t>Mensa al personale dipendente</t>
  </si>
  <si>
    <t>Spese per assicurazioni</t>
  </si>
  <si>
    <t>Fondo di riserva</t>
  </si>
  <si>
    <t>IRAP retribuzioni comando polizia municipale</t>
  </si>
  <si>
    <t>Contributi a scuole materne private</t>
  </si>
  <si>
    <t>Indennità Commissione Edilizia</t>
  </si>
  <si>
    <t>Oneri contributivi ufficio ragioneria</t>
  </si>
  <si>
    <t>Oneri contributivi ufficio tecnico</t>
  </si>
  <si>
    <t>Versamento ritenute previdenziali ed assistenziali su redditi da lavoro autonomo per conto terzi</t>
  </si>
  <si>
    <t>3.02.03.01.000</t>
  </si>
  <si>
    <t>Trasferimento fondi all'ULSS</t>
  </si>
  <si>
    <t xml:space="preserve">Imposte e tasse relative al patrimonio </t>
  </si>
  <si>
    <t>ENTRATE</t>
  </si>
  <si>
    <t>SPESE</t>
  </si>
  <si>
    <t>Quota diritti di segreteria e di rogito da versare al fondo</t>
  </si>
  <si>
    <t>Spese funzionamento biblioteca - acquisto beni</t>
  </si>
  <si>
    <t>Spese funzionamento biblioteca - servizi</t>
  </si>
  <si>
    <t>Contributo ad Enti per manifestazioni culturali</t>
  </si>
  <si>
    <t>Utenze impianti sportivi</t>
  </si>
  <si>
    <r>
      <t>TOTALE MISSIONE 8</t>
    </r>
    <r>
      <rPr>
        <b/>
        <sz val="10"/>
        <color indexed="12"/>
        <rFont val="Arial"/>
        <family val="2"/>
      </rPr>
      <t xml:space="preserve"> (Assetto del territorio ed edilizia abitativa)</t>
    </r>
    <r>
      <rPr>
        <b/>
        <sz val="10"/>
        <rFont val="Arial"/>
        <family val="2"/>
      </rPr>
      <t xml:space="preserve"> - PROGRAMMA 1</t>
    </r>
    <r>
      <rPr>
        <b/>
        <sz val="10"/>
        <color indexed="12"/>
        <rFont val="Arial"/>
        <family val="2"/>
      </rPr>
      <t xml:space="preserve"> (Urbanistica e assetto del territorio)</t>
    </r>
  </si>
  <si>
    <t>Incarichi professionali in materia urbanistica</t>
  </si>
  <si>
    <t>2.02.03.02.000</t>
  </si>
  <si>
    <t>Finanziamento ATO-Bacchiglione</t>
  </si>
  <si>
    <t>Manutenzioni idrauliche territorio comunale</t>
  </si>
  <si>
    <t>Spese parchi e giardini</t>
  </si>
  <si>
    <t>Quota TEFA alla Provincia su TARES</t>
  </si>
  <si>
    <t>Retribuzione personale area ecologica</t>
  </si>
  <si>
    <t>IRAP retribuzioni personale dipendente area ecologica</t>
  </si>
  <si>
    <t>Oneri contributivi personale dipendente area ecologica</t>
  </si>
  <si>
    <t>Spese smaltimento e trasporto rifiuti solidi urbani</t>
  </si>
  <si>
    <t>Consumo acqua per fontane pubbliche</t>
  </si>
  <si>
    <t>Retribuzione personale viabilità</t>
  </si>
  <si>
    <t>Oneri contributivi personale viabilità</t>
  </si>
  <si>
    <t>IRAP retribuzioni personale dipendente area viabilità</t>
  </si>
  <si>
    <t>Spese vestiario personale dipendente</t>
  </si>
  <si>
    <t>Spese segnaletica stradale</t>
  </si>
  <si>
    <t>Spese energia elettrica per illuminazione pubblica</t>
  </si>
  <si>
    <t>Spese mantenimento illuminazione pubblica</t>
  </si>
  <si>
    <t>2070/2</t>
  </si>
  <si>
    <t>2070/9</t>
  </si>
  <si>
    <t>Spese protezione civile</t>
  </si>
  <si>
    <t>Iniziative a favore degli anziani</t>
  </si>
  <si>
    <t>Realizzazione soggiorni climatici</t>
  </si>
  <si>
    <t>Spese diverse ufficio casa</t>
  </si>
  <si>
    <t>Contributi a privati interventi assistenziali</t>
  </si>
  <si>
    <t>9.01.01.02.000</t>
  </si>
  <si>
    <t>Incasso IVA per split payment</t>
  </si>
  <si>
    <t>Itinerario ciclabile collegamento via Valsolda-Via Marangoni</t>
  </si>
  <si>
    <t>2.03.01.02.000</t>
  </si>
  <si>
    <t>Rimborso a Regione Veneto trasferimento per alluvione 2010</t>
  </si>
  <si>
    <t>Ampliamento cimitero capoluogo</t>
  </si>
  <si>
    <t>Iniziative per lo sviluppo produttivo - Sportello Unico Attività Produttive</t>
  </si>
  <si>
    <t>Fondo di cassa presunto all'inizio dell'esercizio</t>
  </si>
  <si>
    <t xml:space="preserve">Utilizzo avanzo presunto di amministrazione </t>
  </si>
  <si>
    <t>Disavanzo  di  amministrazione</t>
  </si>
  <si>
    <t>Fondo pluriennale vincolato</t>
  </si>
  <si>
    <r>
      <rPr>
        <b/>
        <sz val="11"/>
        <color indexed="8"/>
        <rFont val="Calibri"/>
        <family val="2"/>
      </rPr>
      <t>Titolo 1</t>
    </r>
    <r>
      <rPr>
        <sz val="10"/>
        <rFont val="Arial"/>
        <family val="0"/>
      </rPr>
      <t xml:space="preserve"> - Entrate correnti di natura tributaria, contributiva e perequativa</t>
    </r>
  </si>
  <si>
    <r>
      <rPr>
        <b/>
        <sz val="11"/>
        <color indexed="8"/>
        <rFont val="Calibri"/>
        <family val="2"/>
      </rPr>
      <t>Titolo 1</t>
    </r>
    <r>
      <rPr>
        <sz val="10"/>
        <rFont val="Arial"/>
        <family val="0"/>
      </rPr>
      <t xml:space="preserve"> - Spese correnti</t>
    </r>
  </si>
  <si>
    <t xml:space="preserve"> - di cui fondo pluriennale vincolato</t>
  </si>
  <si>
    <r>
      <rPr>
        <b/>
        <sz val="11"/>
        <color indexed="8"/>
        <rFont val="Calibri"/>
        <family val="2"/>
      </rPr>
      <t>Titolo 2</t>
    </r>
    <r>
      <rPr>
        <sz val="10"/>
        <rFont val="Arial"/>
        <family val="0"/>
      </rPr>
      <t xml:space="preserve"> - Trasferimenti correnti</t>
    </r>
  </si>
  <si>
    <r>
      <rPr>
        <b/>
        <sz val="11"/>
        <color indexed="8"/>
        <rFont val="Calibri"/>
        <family val="2"/>
      </rPr>
      <t xml:space="preserve">Titolo 3 </t>
    </r>
    <r>
      <rPr>
        <sz val="10"/>
        <rFont val="Arial"/>
        <family val="0"/>
      </rPr>
      <t>- Entrate extratributarie</t>
    </r>
  </si>
  <si>
    <r>
      <rPr>
        <b/>
        <sz val="11"/>
        <color indexed="8"/>
        <rFont val="Calibri"/>
        <family val="2"/>
      </rPr>
      <t>Titolo 4</t>
    </r>
    <r>
      <rPr>
        <sz val="10"/>
        <rFont val="Arial"/>
        <family val="0"/>
      </rPr>
      <t xml:space="preserve"> - Entrate in conto capitale </t>
    </r>
  </si>
  <si>
    <t>Proventi per concessioni su beni (quota mutui servizio idrico integrato e quota discarica Grumolo)</t>
  </si>
  <si>
    <t>Iniziative per il sostegno all'occupazione - Compartecipazione gestione Centro per l'impiego</t>
  </si>
  <si>
    <r>
      <t>TOTALE PROGRAMMA 9</t>
    </r>
    <r>
      <rPr>
        <b/>
        <sz val="10"/>
        <color indexed="12"/>
        <rFont val="Arial"/>
        <family val="2"/>
      </rPr>
      <t xml:space="preserve"> (Assistenza tecnico-amministrativa agli enti locali )</t>
    </r>
  </si>
  <si>
    <r>
      <rPr>
        <b/>
        <sz val="11"/>
        <color indexed="8"/>
        <rFont val="Calibri"/>
        <family val="2"/>
      </rPr>
      <t>Titolo 2</t>
    </r>
    <r>
      <rPr>
        <sz val="10"/>
        <rFont val="Arial"/>
        <family val="0"/>
      </rPr>
      <t xml:space="preserve"> - Spese in conto capitale</t>
    </r>
  </si>
  <si>
    <r>
      <rPr>
        <b/>
        <sz val="11"/>
        <color indexed="8"/>
        <rFont val="Calibri"/>
        <family val="2"/>
      </rPr>
      <t>Titolo 5</t>
    </r>
    <r>
      <rPr>
        <sz val="10"/>
        <rFont val="Arial"/>
        <family val="0"/>
      </rPr>
      <t xml:space="preserve"> - Entrate da riduzione di attività finanziarie</t>
    </r>
  </si>
  <si>
    <r>
      <rPr>
        <b/>
        <sz val="11"/>
        <color indexed="8"/>
        <rFont val="Calibri"/>
        <family val="2"/>
      </rPr>
      <t>Titolo 3</t>
    </r>
    <r>
      <rPr>
        <sz val="10"/>
        <rFont val="Arial"/>
        <family val="0"/>
      </rPr>
      <t xml:space="preserve"> - Spese per incremento di attività finanziarie</t>
    </r>
  </si>
  <si>
    <r>
      <rPr>
        <b/>
        <sz val="11"/>
        <color indexed="8"/>
        <rFont val="Calibri"/>
        <family val="2"/>
      </rPr>
      <t>Titolo 6</t>
    </r>
    <r>
      <rPr>
        <sz val="10"/>
        <rFont val="Arial"/>
        <family val="0"/>
      </rPr>
      <t xml:space="preserve"> - Accensione di prestiti</t>
    </r>
  </si>
  <si>
    <r>
      <rPr>
        <b/>
        <sz val="11"/>
        <color indexed="8"/>
        <rFont val="Calibri"/>
        <family val="2"/>
      </rPr>
      <t xml:space="preserve">Titolo 4 </t>
    </r>
    <r>
      <rPr>
        <sz val="10"/>
        <rFont val="Arial"/>
        <family val="0"/>
      </rPr>
      <t>- Rimborso di prestiti</t>
    </r>
  </si>
  <si>
    <r>
      <rPr>
        <b/>
        <sz val="11"/>
        <color indexed="8"/>
        <rFont val="Calibri"/>
        <family val="2"/>
      </rPr>
      <t>Titolo 7</t>
    </r>
    <r>
      <rPr>
        <sz val="10"/>
        <rFont val="Arial"/>
        <family val="0"/>
      </rPr>
      <t xml:space="preserve"> - Anticipazioni da istituto tesoriere/cassiere</t>
    </r>
  </si>
  <si>
    <r>
      <rPr>
        <b/>
        <sz val="11"/>
        <color indexed="8"/>
        <rFont val="Calibri"/>
        <family val="2"/>
      </rPr>
      <t xml:space="preserve">Titolo 5 </t>
    </r>
    <r>
      <rPr>
        <sz val="10"/>
        <rFont val="Arial"/>
        <family val="0"/>
      </rPr>
      <t>- Chiusura Anticipazioni da istituto tesoriere/cassiere</t>
    </r>
  </si>
  <si>
    <r>
      <rPr>
        <b/>
        <sz val="11"/>
        <color indexed="8"/>
        <rFont val="Calibri"/>
        <family val="2"/>
      </rPr>
      <t>Titolo 9</t>
    </r>
    <r>
      <rPr>
        <sz val="10"/>
        <rFont val="Arial"/>
        <family val="0"/>
      </rPr>
      <t xml:space="preserve"> - Entrate per conto di terzi e partite di giro</t>
    </r>
  </si>
  <si>
    <r>
      <rPr>
        <b/>
        <sz val="11"/>
        <color indexed="8"/>
        <rFont val="Calibri"/>
        <family val="2"/>
      </rPr>
      <t xml:space="preserve">Titolo 7 </t>
    </r>
    <r>
      <rPr>
        <sz val="10"/>
        <rFont val="Arial"/>
        <family val="0"/>
      </rPr>
      <t>- Spese per conto terzi e partite di giro</t>
    </r>
  </si>
  <si>
    <t>Totale titoli</t>
  </si>
  <si>
    <t>TOTALE COMPLESSIVO ENTRATE</t>
  </si>
  <si>
    <t>TOTALE COMPLESSIVO SPESE</t>
  </si>
  <si>
    <t>PAREGGIO FINANZIARIO DI PARTE CORRENTE</t>
  </si>
  <si>
    <t>Fondo Pluriennale Vincolato per spese correnti</t>
  </si>
  <si>
    <t>Avanzo di amministrazione per spese correnti</t>
  </si>
  <si>
    <t>Fondo Pluriennale Vincolato per spese c/capitale</t>
  </si>
  <si>
    <t>Avanzo di amministrazione per spese in conto capitale</t>
  </si>
  <si>
    <t>Titolo 4 - Entrate in conto capitale</t>
  </si>
  <si>
    <t>PAREGGIO FINANZIARIO DI PARTE CAPITALE</t>
  </si>
  <si>
    <t>PAREGGIO FINANZIARIO COMPLESSIVO</t>
  </si>
  <si>
    <t>di cui : finanziato da debito</t>
  </si>
  <si>
    <t>Avanzo di amministrazione</t>
  </si>
  <si>
    <t>di cui : per spese correnti</t>
  </si>
  <si>
    <t>di cui : per spese in conto capitale</t>
  </si>
  <si>
    <t>di cui : Fondo Crediti di Dubbia Esigibilità</t>
  </si>
  <si>
    <t>di cui : Fondo rischi ed accantonamenti futuri</t>
  </si>
  <si>
    <t>Titolo 3 - Spese per incremento di attività finanziarie</t>
  </si>
  <si>
    <t>Avanzo di amministrazione applicato per spese correnti</t>
  </si>
  <si>
    <t>Avanzo di amministrazione applicato per investimenti</t>
  </si>
  <si>
    <t>Rimborso quota capitale mutui</t>
  </si>
  <si>
    <t>Interessi passivi mutui</t>
  </si>
  <si>
    <t>Interessi passivi mutui impianti sportivi</t>
  </si>
  <si>
    <t>TOTALE PROGRAMMA 4 (Interventi per i soggetti a rischio esclusione sociale)</t>
  </si>
  <si>
    <r>
      <t xml:space="preserve">TOTALE </t>
    </r>
    <r>
      <rPr>
        <b/>
        <sz val="10"/>
        <rFont val="Arial"/>
        <family val="2"/>
      </rPr>
      <t>PROGRAMMA 5</t>
    </r>
    <r>
      <rPr>
        <b/>
        <sz val="10"/>
        <color indexed="12"/>
        <rFont val="Arial"/>
        <family val="2"/>
      </rPr>
      <t xml:space="preserve"> (Interventi per le famiglie)</t>
    </r>
  </si>
  <si>
    <r>
      <t xml:space="preserve">TOTALE </t>
    </r>
    <r>
      <rPr>
        <b/>
        <sz val="10"/>
        <rFont val="Arial"/>
        <family val="2"/>
      </rPr>
      <t>PROGRAMMA 6</t>
    </r>
    <r>
      <rPr>
        <b/>
        <sz val="10"/>
        <color indexed="12"/>
        <rFont val="Arial"/>
        <family val="2"/>
      </rPr>
      <t xml:space="preserve"> (Interventi per il diritto alla casa)</t>
    </r>
  </si>
  <si>
    <r>
      <t xml:space="preserve">TOTALE </t>
    </r>
    <r>
      <rPr>
        <b/>
        <sz val="10"/>
        <rFont val="Arial"/>
        <family val="2"/>
      </rPr>
      <t>PROGRAMMA 7</t>
    </r>
    <r>
      <rPr>
        <b/>
        <sz val="10"/>
        <color indexed="12"/>
        <rFont val="Arial"/>
        <family val="2"/>
      </rPr>
      <t xml:space="preserve"> (Programmazione e governo della rete dei servizi sociosanitari e sociali)</t>
    </r>
  </si>
  <si>
    <r>
      <t xml:space="preserve">TOTALE </t>
    </r>
    <r>
      <rPr>
        <b/>
        <sz val="10"/>
        <rFont val="Arial"/>
        <family val="2"/>
      </rPr>
      <t>PROGRAMMA 9</t>
    </r>
    <r>
      <rPr>
        <b/>
        <sz val="10"/>
        <color indexed="12"/>
        <rFont val="Arial"/>
        <family val="2"/>
      </rPr>
      <t xml:space="preserve"> (Servizio necroscopico e cimiteriale)</t>
    </r>
  </si>
  <si>
    <t>MISSIONE 14 - SVILUPPO ECONOMICO E COMPETITIVITA'</t>
  </si>
  <si>
    <t>TOTALE MISSIONE 14 - SVILUPPO ECONOMICO E COMPETITIVITA'</t>
  </si>
  <si>
    <r>
      <t xml:space="preserve">TOTALE </t>
    </r>
    <r>
      <rPr>
        <b/>
        <sz val="10"/>
        <rFont val="Arial"/>
        <family val="2"/>
      </rPr>
      <t xml:space="preserve">PROGRAMMA 4 </t>
    </r>
    <r>
      <rPr>
        <b/>
        <sz val="10"/>
        <color indexed="12"/>
        <rFont val="Arial"/>
        <family val="2"/>
      </rPr>
      <t>(Reti e altri servizi di pubblica utilità)</t>
    </r>
  </si>
  <si>
    <t>MISSIONE 15 - POLITICHE PER IL LAVORO E LA FORMAZIONE PROFESSIONALE</t>
  </si>
  <si>
    <t>TOTALE MISSIONE 15 - POLITICHE PER IL LAVORO E LA FORMAZIONE PROFESSIONALE</t>
  </si>
  <si>
    <r>
      <t xml:space="preserve">TOTALE </t>
    </r>
    <r>
      <rPr>
        <b/>
        <sz val="10"/>
        <rFont val="Arial"/>
        <family val="2"/>
      </rPr>
      <t xml:space="preserve">PROGRAMMA 1 </t>
    </r>
    <r>
      <rPr>
        <b/>
        <sz val="10"/>
        <color indexed="12"/>
        <rFont val="Arial"/>
        <family val="2"/>
      </rPr>
      <t>(Servizi per il mercato del lavoro)</t>
    </r>
  </si>
  <si>
    <t>MISSIONE 20 - FONDI E ACCANTONAMENTI</t>
  </si>
  <si>
    <r>
      <t>TOTALE PROGRAMMA 1</t>
    </r>
    <r>
      <rPr>
        <b/>
        <sz val="10"/>
        <color indexed="12"/>
        <rFont val="Arial"/>
        <family val="2"/>
      </rPr>
      <t xml:space="preserve"> (Fondo di riserva)</t>
    </r>
  </si>
  <si>
    <r>
      <t xml:space="preserve">TOTALE PROGRAMMA 2 - </t>
    </r>
    <r>
      <rPr>
        <b/>
        <sz val="10"/>
        <color indexed="12"/>
        <rFont val="Arial"/>
        <family val="2"/>
      </rPr>
      <t>(Fondo crediti di dubbia esigibilità)</t>
    </r>
  </si>
  <si>
    <r>
      <t>TOTALE PROGRAMMA 3 -</t>
    </r>
    <r>
      <rPr>
        <b/>
        <sz val="10"/>
        <color indexed="12"/>
        <rFont val="Arial"/>
        <family val="2"/>
      </rPr>
      <t xml:space="preserve"> (Altri fondi)</t>
    </r>
  </si>
  <si>
    <t>TOTALE MISSIONE 20 - FONDI E ACCANTONAMENTI</t>
  </si>
  <si>
    <r>
      <t xml:space="preserve">TOTALE </t>
    </r>
    <r>
      <rPr>
        <b/>
        <sz val="10"/>
        <rFont val="Arial"/>
        <family val="2"/>
      </rPr>
      <t>PROGRAMMA 1</t>
    </r>
    <r>
      <rPr>
        <b/>
        <sz val="10"/>
        <color indexed="12"/>
        <rFont val="Arial"/>
        <family val="2"/>
      </rPr>
      <t xml:space="preserve"> (Organi istituzionali)</t>
    </r>
  </si>
  <si>
    <r>
      <t>TOTALE</t>
    </r>
    <r>
      <rPr>
        <b/>
        <sz val="10"/>
        <rFont val="Arial"/>
        <family val="2"/>
      </rPr>
      <t xml:space="preserve"> PROGRAMMA 1 </t>
    </r>
    <r>
      <rPr>
        <b/>
        <sz val="10"/>
        <color indexed="12"/>
        <rFont val="Arial"/>
        <family val="2"/>
      </rPr>
      <t>(Polizia locale e amministrativa)</t>
    </r>
  </si>
  <si>
    <r>
      <t xml:space="preserve">TOTALE </t>
    </r>
    <r>
      <rPr>
        <b/>
        <sz val="10"/>
        <rFont val="Arial"/>
        <family val="2"/>
      </rPr>
      <t xml:space="preserve">PROGRAMMA 1 </t>
    </r>
    <r>
      <rPr>
        <b/>
        <sz val="10"/>
        <color indexed="12"/>
        <rFont val="Arial"/>
        <family val="2"/>
      </rPr>
      <t>(Istruzione prescolatica)</t>
    </r>
  </si>
  <si>
    <r>
      <t xml:space="preserve">TOTALE </t>
    </r>
    <r>
      <rPr>
        <b/>
        <sz val="10"/>
        <rFont val="Arial"/>
        <family val="2"/>
      </rPr>
      <t xml:space="preserve">PROGRAMMA 2 </t>
    </r>
    <r>
      <rPr>
        <b/>
        <sz val="10"/>
        <color indexed="12"/>
        <rFont val="Arial"/>
        <family val="2"/>
      </rPr>
      <t>(Altri ordini di istruzione)</t>
    </r>
  </si>
  <si>
    <r>
      <t xml:space="preserve">TOTALE </t>
    </r>
    <r>
      <rPr>
        <b/>
        <sz val="10"/>
        <rFont val="Arial"/>
        <family val="2"/>
      </rPr>
      <t>PROGRAMMA 6</t>
    </r>
    <r>
      <rPr>
        <b/>
        <sz val="10"/>
        <color indexed="12"/>
        <rFont val="Arial"/>
        <family val="2"/>
      </rPr>
      <t xml:space="preserve"> (Servizi ausiliari all'istruzione)</t>
    </r>
  </si>
  <si>
    <r>
      <t>TOTALE PROGRAMMA 6</t>
    </r>
    <r>
      <rPr>
        <b/>
        <sz val="10"/>
        <color indexed="12"/>
        <rFont val="Arial"/>
        <family val="2"/>
      </rPr>
      <t xml:space="preserve"> (Tutela e valorizzazione delle risorse idriche)</t>
    </r>
  </si>
  <si>
    <r>
      <t xml:space="preserve">TOTALE </t>
    </r>
    <r>
      <rPr>
        <b/>
        <sz val="10"/>
        <rFont val="Arial"/>
        <family val="2"/>
      </rPr>
      <t>PROGRAMMA 1</t>
    </r>
    <r>
      <rPr>
        <b/>
        <sz val="10"/>
        <color indexed="12"/>
        <rFont val="Arial"/>
        <family val="2"/>
      </rPr>
      <t xml:space="preserve"> (Sistema di protezione civile)</t>
    </r>
  </si>
  <si>
    <r>
      <t xml:space="preserve">TOTALE </t>
    </r>
    <r>
      <rPr>
        <b/>
        <sz val="10"/>
        <rFont val="Arial"/>
        <family val="2"/>
      </rPr>
      <t>PROGRAMMA 2</t>
    </r>
    <r>
      <rPr>
        <b/>
        <sz val="10"/>
        <color indexed="12"/>
        <rFont val="Arial"/>
        <family val="2"/>
      </rPr>
      <t xml:space="preserve"> (Interventi a seguito di calamità naturali)</t>
    </r>
  </si>
  <si>
    <r>
      <t>TOTALE PROGRAMMA 8</t>
    </r>
    <r>
      <rPr>
        <b/>
        <sz val="10"/>
        <color indexed="12"/>
        <rFont val="Arial"/>
        <family val="2"/>
      </rPr>
      <t xml:space="preserve"> (Cooperazione e associazionismo)</t>
    </r>
  </si>
  <si>
    <r>
      <t>TOTALE PROGRAMMA 2</t>
    </r>
    <r>
      <rPr>
        <b/>
        <sz val="10"/>
        <color indexed="12"/>
        <rFont val="Arial"/>
        <family val="2"/>
      </rPr>
      <t xml:space="preserve"> (Commercio, reti distributive, tutela dei consumatori)</t>
    </r>
  </si>
  <si>
    <r>
      <t>TOTALE PROGRAMMA 1</t>
    </r>
    <r>
      <rPr>
        <b/>
        <sz val="10"/>
        <color indexed="12"/>
        <rFont val="Arial"/>
        <family val="2"/>
      </rPr>
      <t xml:space="preserve"> (Restituzione anticipazione di tesoreria)</t>
    </r>
  </si>
  <si>
    <r>
      <t xml:space="preserve">TOTALE PROGRAMMA 2 </t>
    </r>
    <r>
      <rPr>
        <b/>
        <sz val="10"/>
        <color indexed="12"/>
        <rFont val="Arial"/>
        <family val="2"/>
      </rPr>
      <t>(Debito pubblico)</t>
    </r>
  </si>
  <si>
    <r>
      <t xml:space="preserve">TOTALE MISSIONE 99 - PROGRAMMA 1 </t>
    </r>
    <r>
      <rPr>
        <b/>
        <sz val="10"/>
        <color indexed="12"/>
        <rFont val="Arial"/>
        <family val="2"/>
      </rPr>
      <t>(Servizi per conto terzi)</t>
    </r>
  </si>
  <si>
    <t xml:space="preserve">Fondo di cassa finale presunto </t>
  </si>
  <si>
    <t>TOTALE TITOLO VII - ANTICIPAZIONI DA ISTITUTO TESORIERE/CASSIERE</t>
  </si>
  <si>
    <t>TITOLO 4 - RIMBORSO PRESTITI</t>
  </si>
  <si>
    <t>TOTALE TITOLO 4 - RIMBORSO PRESTITI</t>
  </si>
  <si>
    <t>Totale spese finali</t>
  </si>
  <si>
    <t>Totale entrate finali</t>
  </si>
  <si>
    <t>QUADRO GENERALE RIASSUNTIVO</t>
  </si>
  <si>
    <t>BILANCIO DI PREVISIONE</t>
  </si>
  <si>
    <t>EQUILIBRIO ECONOMICO-FINANZIARIO</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</si>
  <si>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</si>
  <si>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</si>
  <si>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</si>
  <si>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</si>
  <si>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</si>
  <si>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</si>
  <si>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</si>
  <si>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</si>
  <si>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</si>
  <si>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</si>
  <si>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</si>
  <si>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</si>
  <si>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</si>
  <si>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</si>
  <si>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</si>
  <si>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CHE  HANNO EFFETTO SULL’EQUILIBRIO  EX ARTICOLO 162, COMMA 6,  DEL TESTO UNICO DELLE LEGGI SULL’ORDINAMENTO DEGLI ENTI LOCALI</t>
  </si>
  <si>
    <t>H) Utilizzo avanzo di amministrazione per spese correnti</t>
  </si>
  <si>
    <t xml:space="preserve"> -</t>
  </si>
  <si>
    <t>I) Entrate di parte capitale destinate a spese correnti in base a specifiche disposizioni di legge</t>
  </si>
  <si>
    <t>L) Entrate di parte corrente destinate a spese di investimento in base a specifiche disposizioni di legge</t>
  </si>
  <si>
    <t>M) Entrate da accensione di prestiti destinate a estinzione anticipata dei prestiti</t>
  </si>
  <si>
    <t>EQUILIBRIO DI PARTE CORRENTE (**)</t>
  </si>
  <si>
    <t>O=G+H+I-L+M</t>
  </si>
  <si>
    <t>P) Utilizzo avanzo di amministrazione per spese di investimento</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</si>
  <si>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</si>
  <si>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</si>
  <si>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</si>
  <si>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</si>
  <si>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</si>
  <si>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</si>
  <si>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</si>
  <si>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</si>
  <si>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</si>
  <si>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</si>
  <si>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</si>
  <si>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</si>
  <si>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</si>
  <si>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</si>
  <si>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</si>
  <si>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</si>
  <si>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</si>
  <si>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</si>
  <si>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Oneri contributivi su compensi lavoro straordinario elezioni amministrative</t>
  </si>
  <si>
    <t>Spese per elezioni amministrative (compensi al personale)</t>
  </si>
  <si>
    <t>di cui : Fondo Pluriennale Vincolato rinveniente da debito FPV SPESA)</t>
  </si>
  <si>
    <t>Rimborso spese di viaggio segretario comunale</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</si>
  <si>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</si>
  <si>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</si>
  <si>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</si>
  <si>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</si>
  <si>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500</t>
  </si>
  <si>
    <t>Y) Si tratta delle spese del titolo 3 limitatamente alle altre spese per incremento di attività finanziarie corrispondenti alla voce del piano dei conti finanziario con codifica U.3.04.00.00.000.</t>
  </si>
  <si>
    <t xml:space="preserve">(**) La somma algebrica finale non può essere inferiore a zero per il rispetto della disposizione di cui all’articolo 162 del testo unico delle leggi sull’ordinamento degli enti locali. </t>
  </si>
  <si>
    <t>Ritenute del 4% sui contributi pubblici</t>
  </si>
  <si>
    <t>4002/1</t>
  </si>
  <si>
    <t>Interessi passivi mutui (Cassa DD.PP.)</t>
  </si>
  <si>
    <t>Interessi passivi mutui (nuovo ecocentro) (Cassa DD.PP.)</t>
  </si>
  <si>
    <t>Tributo sui servizi (TASI)</t>
  </si>
  <si>
    <t>Manutenzione cimitero comunale</t>
  </si>
  <si>
    <t>Piano dei conti</t>
  </si>
  <si>
    <t>1.03.01.01.000</t>
  </si>
  <si>
    <t>3.02.02.01.000</t>
  </si>
  <si>
    <t>9.01.02.02.000</t>
  </si>
  <si>
    <t>9.02.99.99.000</t>
  </si>
  <si>
    <t>9.01.02.01.000</t>
  </si>
  <si>
    <t>9.01.03.01.000</t>
  </si>
  <si>
    <t>1.01.01.08.000</t>
  </si>
  <si>
    <t>1.01.01.06.000</t>
  </si>
  <si>
    <t>1.01.01.16.000</t>
  </si>
  <si>
    <t>1.01.01.61.000</t>
  </si>
  <si>
    <t>2.01.01.01.000</t>
  </si>
  <si>
    <t>2.01.01.02.000</t>
  </si>
  <si>
    <t>3.01.02.01.000</t>
  </si>
  <si>
    <t>3.03.03.99.000</t>
  </si>
  <si>
    <t>3.03.03.03.000</t>
  </si>
  <si>
    <t>3.01.03.01.000</t>
  </si>
  <si>
    <t>Ritenute previdenziali su redditi da lavoro autonomo per conto terzi</t>
  </si>
  <si>
    <t>Ritenute su redditi di lavoro autonomo</t>
  </si>
  <si>
    <t>Fondo Pluriennale Vincolato per Spese correnti</t>
  </si>
  <si>
    <t>Fondo Pluriennale Vincolato per Spese in conto capitale</t>
  </si>
  <si>
    <t>IVA per servizi da attività commerciali</t>
  </si>
  <si>
    <t>Versamento IVA per servizi su attività commerciali</t>
  </si>
  <si>
    <t>oneri di urbanizzazione per spese correnti</t>
  </si>
  <si>
    <t>Servizi conto terzi - IVA per split payment</t>
  </si>
  <si>
    <t>Capitolo</t>
  </si>
  <si>
    <t>COMUNE DI MONTEGALDA</t>
  </si>
  <si>
    <t>Trasferimenti correnti Stato a carattere generale</t>
  </si>
  <si>
    <t>Funzioni nel settore sociale</t>
  </si>
  <si>
    <t>Rimborso spese funzionamento Istituto Comprensivo</t>
  </si>
  <si>
    <t>Interessi attivi su depositi</t>
  </si>
  <si>
    <t>Compartecipazione spesa per testi scolastici</t>
  </si>
  <si>
    <t>Anticipazione da istituto tesoriere/cassiere</t>
  </si>
  <si>
    <t>Chiusura anticipazione da istituto tesoriere/cassiere</t>
  </si>
  <si>
    <t>6002/1</t>
  </si>
  <si>
    <t>Compenso al revisore</t>
  </si>
  <si>
    <t>150/1</t>
  </si>
  <si>
    <t>Spese varie uffici comunali - servizi amministrativi</t>
  </si>
  <si>
    <t>Spese gestione patrimonio disponibile</t>
  </si>
  <si>
    <t>Spese funzionamento ufficio tecnico</t>
  </si>
  <si>
    <t>Spese progettazioni opere pubbliche</t>
  </si>
  <si>
    <t>Spesa per assistenza programmi e macchine uffici</t>
  </si>
  <si>
    <t>Provvedimenti sicurezza (L. 626)</t>
  </si>
  <si>
    <t>Acquisto materiale per uffici comunali</t>
  </si>
  <si>
    <t>Spese per pulizie uffici</t>
  </si>
  <si>
    <t>Aggiornamento a giornali e riviste</t>
  </si>
  <si>
    <t>Rimborso spese per missioni del personale</t>
  </si>
  <si>
    <t>Fondo salario accessorio</t>
  </si>
  <si>
    <t>Carburanti automezzi comunali</t>
  </si>
  <si>
    <t>680/1</t>
  </si>
  <si>
    <t>Tassa di proprietà automezzi comunali</t>
  </si>
  <si>
    <t>680/2</t>
  </si>
  <si>
    <t>Manutenzione parco automezzi comunali</t>
  </si>
  <si>
    <r>
      <t xml:space="preserve">TOTALE MISSIONE 4 </t>
    </r>
    <r>
      <rPr>
        <b/>
        <sz val="10"/>
        <color indexed="12"/>
        <rFont val="Arial"/>
        <family val="2"/>
      </rPr>
      <t>(Istruzione e diritto allo studio)</t>
    </r>
    <r>
      <rPr>
        <b/>
        <sz val="10"/>
        <rFont val="Arial"/>
        <family val="2"/>
      </rPr>
      <t xml:space="preserve"> - PROGRAMMA 2 </t>
    </r>
    <r>
      <rPr>
        <b/>
        <sz val="10"/>
        <color indexed="12"/>
        <rFont val="Arial"/>
        <family val="2"/>
      </rPr>
      <t>(Altri ordini di istruzione)</t>
    </r>
  </si>
  <si>
    <t>Utenze telefoniche per Istituto Comprensivo</t>
  </si>
  <si>
    <t>Contributo per funzionamento scuole elementari</t>
  </si>
  <si>
    <t>1.04.02.05.000</t>
  </si>
  <si>
    <t>Proventi illuminazione votiva</t>
  </si>
  <si>
    <t>3.05.09.99.000</t>
  </si>
  <si>
    <t>Proventi utilizzo beni di proprietà comunale</t>
  </si>
  <si>
    <t>Utenze scuole medie</t>
  </si>
  <si>
    <t>Contributo per funzionamento scuole medie</t>
  </si>
  <si>
    <t>Rimborso anticipazione di fondi economato</t>
  </si>
  <si>
    <t>Rimborso spese servizio tesoreria</t>
  </si>
  <si>
    <t>Anticipazione fondo servizio economato</t>
  </si>
  <si>
    <t>Allegato a)  Risultato presunto di amministrazione</t>
  </si>
  <si>
    <t>=</t>
  </si>
  <si>
    <t>+</t>
  </si>
  <si>
    <t xml:space="preserve">- </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</si>
  <si>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</si>
  <si>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</si>
  <si>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</si>
  <si>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</si>
  <si>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</si>
  <si>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</si>
  <si>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</si>
  <si>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</si>
  <si>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</si>
  <si>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</si>
  <si>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</si>
  <si>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</si>
  <si>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</si>
  <si>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</si>
  <si>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</si>
  <si>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Totale utilizzo avanzo di amministrazione presunto</t>
  </si>
  <si>
    <t>(* )</t>
  </si>
  <si>
    <t>Indicare gli anni di riferimento N e N-1.</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</si>
  <si>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</si>
  <si>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</si>
  <si>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</si>
  <si>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</si>
  <si>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</si>
  <si>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</si>
  <si>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</si>
  <si>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</si>
  <si>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</si>
  <si>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</si>
  <si>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</si>
  <si>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</si>
  <si>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</si>
  <si>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</si>
  <si>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</si>
  <si>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</si>
  <si>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</si>
  <si>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</si>
  <si>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 xml:space="preserve">Livello massimo di spesa annuale (10%) (1): </t>
  </si>
  <si>
    <t>Contributi contributi erariali in c/interessi su mutui</t>
  </si>
  <si>
    <t>Ammontare interessi riguardanti debiti espressamente esclusi dai limiti di indebitamento</t>
  </si>
  <si>
    <t>Ammontare disponibile per nuovi interessi</t>
  </si>
  <si>
    <t>TOTALE DEBITO CONTRATTO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</si>
  <si>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</si>
  <si>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</si>
  <si>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</si>
  <si>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</si>
  <si>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</si>
  <si>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TOTALE INTERESSI PASSIVI</t>
  </si>
  <si>
    <t>PERCENTUALE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</si>
  <si>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il 10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</si>
  <si>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</si>
  <si>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t>Contributo Regione per ampliamento cimitero Colzè</t>
  </si>
  <si>
    <t>TABELLA DIMOSTRATIVA DEL RISULTATO DI AMMINISTRAZIONE PRESUNTO
(ALL'INIZIO DELL'ESERCIZIO N DI RIFERIMENTO DEL BILANCIO DI PREVISIONE)*</t>
  </si>
  <si>
    <t>Risultato di amministrazione iniziale dell'esercizio N-1</t>
  </si>
  <si>
    <t>Fondo pluriennale vincolato iniziale dell'esercizio N-1</t>
  </si>
  <si>
    <t>Entrate già accertate nell'esercizio N-1</t>
  </si>
  <si>
    <t>Uscite già impegnate nell'esercizio N-1</t>
  </si>
  <si>
    <r>
      <t>Riduzione dei residui attivi già verificatasi nell'esercizio N-1</t>
    </r>
    <r>
      <rPr>
        <b/>
        <vertAlign val="superscript"/>
        <sz val="11"/>
        <rFont val="Calibri"/>
        <family val="2"/>
      </rPr>
      <t xml:space="preserve"> </t>
    </r>
  </si>
  <si>
    <r>
      <t>Incremento  dei residui attivi già verificatasi nell'esercizio N-1</t>
    </r>
    <r>
      <rPr>
        <b/>
        <vertAlign val="superscript"/>
        <sz val="11"/>
        <rFont val="Calibri"/>
        <family val="2"/>
      </rPr>
      <t xml:space="preserve"> </t>
    </r>
  </si>
  <si>
    <r>
      <t>Riduzione dei residui passivi già verificatasi nell'esercizio N-1</t>
    </r>
    <r>
      <rPr>
        <b/>
        <vertAlign val="superscript"/>
        <sz val="11"/>
        <rFont val="Calibri"/>
        <family val="2"/>
      </rPr>
      <t xml:space="preserve"> </t>
    </r>
  </si>
  <si>
    <r>
      <t>Entrate che prevedo di accertare  per il restante periodo</t>
    </r>
    <r>
      <rPr>
        <sz val="11"/>
        <rFont val="Calibri"/>
        <family val="2"/>
      </rPr>
      <t xml:space="preserve"> dell'esercizio N-1</t>
    </r>
  </si>
  <si>
    <r>
      <t xml:space="preserve">Spese che prevedo di impegnare per il restante periodo </t>
    </r>
    <r>
      <rPr>
        <sz val="11"/>
        <rFont val="Calibri"/>
        <family val="2"/>
      </rPr>
      <t>dell'esercizio N-1</t>
    </r>
  </si>
  <si>
    <r>
      <t xml:space="preserve">Riduzione dei residui attivi presunta per il restante periodo </t>
    </r>
    <r>
      <rPr>
        <sz val="11"/>
        <rFont val="Calibri"/>
        <family val="2"/>
      </rPr>
      <t>dell'esercizio N-1</t>
    </r>
  </si>
  <si>
    <r>
      <t xml:space="preserve">Incremento dei residui attivi presunto per il restante periodo </t>
    </r>
    <r>
      <rPr>
        <sz val="11"/>
        <rFont val="Calibri"/>
        <family val="2"/>
      </rPr>
      <t>dell'esercizio N-1</t>
    </r>
  </si>
  <si>
    <r>
      <t xml:space="preserve">Riduzione dei residui passivi presunta per il restante periodo </t>
    </r>
    <r>
      <rPr>
        <sz val="11"/>
        <rFont val="Calibri"/>
        <family val="2"/>
      </rPr>
      <t>dell'esercizio N-1</t>
    </r>
  </si>
  <si>
    <r>
      <t>Fondo pluriennale vincolato</t>
    </r>
    <r>
      <rPr>
        <sz val="11"/>
        <rFont val="Calibri"/>
        <family val="2"/>
      </rPr>
      <t xml:space="preserve"> finale presunto dell'esercizio N-1 </t>
    </r>
    <r>
      <rPr>
        <b/>
        <vertAlign val="superscript"/>
        <sz val="11"/>
        <rFont val="Calibri"/>
        <family val="2"/>
      </rPr>
      <t>(1)</t>
    </r>
  </si>
  <si>
    <r>
      <t xml:space="preserve">2) Composizione del risultato di amministrazione  </t>
    </r>
    <r>
      <rPr>
        <b/>
        <sz val="11"/>
        <rFont val="Calibri"/>
        <family val="2"/>
      </rPr>
      <t xml:space="preserve">presunto al 31/12 N-1: </t>
    </r>
  </si>
  <si>
    <r>
      <t>Parte accantonata</t>
    </r>
    <r>
      <rPr>
        <sz val="11"/>
        <color indexed="8"/>
        <rFont val="Calibri"/>
        <family val="2"/>
      </rPr>
      <t xml:space="preserve"> </t>
    </r>
    <r>
      <rPr>
        <b/>
        <vertAlign val="superscript"/>
        <sz val="11"/>
        <color indexed="8"/>
        <rFont val="Calibri"/>
        <family val="2"/>
      </rPr>
      <t>(3)</t>
    </r>
  </si>
  <si>
    <r>
      <t xml:space="preserve">Accantonamento residui perenti al 31/12/…. (solo per le regioni) </t>
    </r>
    <r>
      <rPr>
        <vertAlign val="superscript"/>
        <sz val="11"/>
        <rFont val="Calibri"/>
        <family val="2"/>
      </rPr>
      <t>(</t>
    </r>
    <r>
      <rPr>
        <vertAlign val="superscript"/>
        <sz val="11"/>
        <rFont val="Calibri"/>
        <family val="2"/>
      </rPr>
      <t>5)</t>
    </r>
  </si>
  <si>
    <r>
      <t>Fondo  perdite società partecipate</t>
    </r>
    <r>
      <rPr>
        <vertAlign val="superscript"/>
        <sz val="11"/>
        <rFont val="Calibri"/>
        <family val="2"/>
      </rPr>
      <t>(5)</t>
    </r>
  </si>
  <si>
    <r>
      <t>Fondo contenzioso</t>
    </r>
    <r>
      <rPr>
        <vertAlign val="superscript"/>
        <sz val="11"/>
        <rFont val="Calibri"/>
        <family val="2"/>
      </rPr>
      <t>(5)</t>
    </r>
  </si>
  <si>
    <r>
      <t>Altri accantonamenti</t>
    </r>
    <r>
      <rPr>
        <vertAlign val="superscript"/>
        <sz val="11"/>
        <rFont val="Calibri"/>
        <family val="2"/>
      </rPr>
      <t>(5)</t>
    </r>
  </si>
  <si>
    <t xml:space="preserve">Altri vincoli </t>
  </si>
  <si>
    <t xml:space="preserve">Utilizzo altri vincoli </t>
  </si>
  <si>
    <t>NUOVO</t>
  </si>
  <si>
    <r>
      <t xml:space="preserve">ENTRATE RELATIVE AI PRIMI TRE TITOLI DELLE ENTRATE
 </t>
    </r>
    <r>
      <rPr>
        <i/>
        <sz val="10"/>
        <rFont val="Arial"/>
        <family val="2"/>
      </rPr>
      <t xml:space="preserve">(rendiconto penultimo anno precedente quello in cui viene prevista l'assunzione dei mutui), </t>
    </r>
    <r>
      <rPr>
        <sz val="10"/>
        <rFont val="Arial"/>
        <family val="2"/>
      </rPr>
      <t>ex art. 204, c. 1 del D.L.gs. N. 267/2000</t>
    </r>
  </si>
  <si>
    <t xml:space="preserve">Livello massimo di spesa annuale (1): </t>
  </si>
  <si>
    <t>Ammontare interessi per mutui, prestiti obbligazionari, aperture di credito e garanzie di cui all'articolo 207 del TUEL autorizzati nell'esercizio in corso</t>
  </si>
  <si>
    <t>Contributi erariali in c/interessi su mutui</t>
  </si>
  <si>
    <r>
      <t>Debito contratto al 31/12/</t>
    </r>
    <r>
      <rPr>
        <i/>
        <sz val="10"/>
        <rFont val="Arial"/>
        <family val="2"/>
      </rPr>
      <t>esercizio precedente</t>
    </r>
  </si>
  <si>
    <t>Debito autorizzato nell'esercizio in corso</t>
  </si>
  <si>
    <t>di cui, garanzie per le quali è stato costituito  accantonamento</t>
  </si>
  <si>
    <t>(1)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il 12 per cento, per l'anno 2011, l'8 per cento, per gli anni dal 2012 al 2014, e il 10 per cento, a decorrere dall'anno 2015, delle entrate relative ai primi tre titoli del rendiconto del penultimo anno precedente quello in cui viene prevista l'assunzione dei mutui. Per gli enti locali di nuova istituzione si fa riferimento, per i primi due anni, ai corrispondenti dati finanziari del bilancio di previsione (art. 204, comma 1, del TUEL).</t>
  </si>
  <si>
    <t xml:space="preserve">Contributo comunale per borse di studio alunni </t>
  </si>
  <si>
    <t xml:space="preserve">Contributi per bando per realizzazione eventi </t>
  </si>
  <si>
    <t>Trasferimento a Consorzio Bonifica Brenta per realizzazione idrovora"Gabarda"</t>
  </si>
  <si>
    <t>Acquisto automezzo per servizi stradali</t>
  </si>
  <si>
    <t>Service amministrativo a supporto uffici</t>
  </si>
  <si>
    <r>
      <t>TITOLO 1 - Tipologia 101</t>
    </r>
    <r>
      <rPr>
        <b/>
        <sz val="10"/>
        <color indexed="12"/>
        <rFont val="Arial"/>
        <family val="2"/>
      </rPr>
      <t xml:space="preserve"> (Tributi diretti)</t>
    </r>
  </si>
  <si>
    <r>
      <t>TITOLO 1 - Tipologia 301</t>
    </r>
    <r>
      <rPr>
        <b/>
        <sz val="10"/>
        <color indexed="12"/>
        <rFont val="Arial"/>
        <family val="2"/>
      </rPr>
      <t xml:space="preserve"> (Fondi perequativi da amministrazioni centrali)</t>
    </r>
  </si>
  <si>
    <t>TITOLO 2 - Tipologia 101</t>
  </si>
  <si>
    <t>TITOLO 3 - Tipologia 100</t>
  </si>
  <si>
    <t>TITOLO 3 - Tipologia 200</t>
  </si>
  <si>
    <t>TITOLO 3 - Tipologia 300</t>
  </si>
  <si>
    <t>TITOLO 3 - Tipologia 500</t>
  </si>
  <si>
    <t>TITOLO 4 - Tipologia 500</t>
  </si>
  <si>
    <t>TITOLO 6 - Tipologia 603</t>
  </si>
  <si>
    <t>TITOLO 7 - Tipologia 701</t>
  </si>
  <si>
    <t>TITOLO 9 - Tipologia 901</t>
  </si>
  <si>
    <t>TITOLO 4 - Tipologia 400</t>
  </si>
  <si>
    <t>TITOLO 9 - Tipologia 902</t>
  </si>
  <si>
    <t>3.01.01.01.000</t>
  </si>
  <si>
    <t>977/1</t>
  </si>
  <si>
    <t>977/2</t>
  </si>
  <si>
    <t>977/3</t>
  </si>
  <si>
    <t>Contributo statale per messa sicurezza palazzo municipale - Legge 205/2017 art. 1 comma 853</t>
  </si>
  <si>
    <t>Contributo regionale per elaborazione progetto fusione Comuni di Montegalda-Grisignano di Zocco</t>
  </si>
  <si>
    <t>Contributo Regione per Piano interventi parcheggi vie Cattaneo, 2 Giugno e Divisione Julia</t>
  </si>
  <si>
    <t>Trasferimenti da Comuni di Montegaldella e Grisignano di Zocco per progetto fusione</t>
  </si>
  <si>
    <t>ADI - Assistenza domiciliare integrata - Trasferimento fondi regionali a favore Ente</t>
  </si>
  <si>
    <t>Contributo Regione Veneto per adeguamento scuole elementari</t>
  </si>
  <si>
    <t>Messa in sicurezza edificio sede municipale. Intervento di restauro e manutenzione straordinaria</t>
  </si>
  <si>
    <t>Interventi vari di adeguamento alle norme di sicurezza della scuola secondaria di primo grado "G. Toaldo"</t>
  </si>
  <si>
    <t>Completamento percorso pedo-ciclabile di via Borgo fino al cimitero di Colzè</t>
  </si>
  <si>
    <t>Messa in sicurezza territorio comunale rischio idraulico. Realizzazione idrovora Gabarda via Borgo</t>
  </si>
  <si>
    <t>Contributo Amministrazione Provinciale per completamento pista ciclabile Via Zocco</t>
  </si>
  <si>
    <t>Fondo nazionale per il sistema integrato di educazione ed istruzione</t>
  </si>
  <si>
    <t>Compatecipazione gestione biblioteca comunale</t>
  </si>
  <si>
    <t>Contributo Montegaldella acquisto tablet</t>
  </si>
  <si>
    <t>Contributi per iniziative ricreative e sportive</t>
  </si>
  <si>
    <t>991/2</t>
  </si>
  <si>
    <t>991/3</t>
  </si>
  <si>
    <t>991/5</t>
  </si>
  <si>
    <t>2070/16</t>
  </si>
  <si>
    <t>2070/17</t>
  </si>
  <si>
    <t>Percorso pedociclabile di via Borgo-Secondo stralcio</t>
  </si>
  <si>
    <t>2070/18</t>
  </si>
  <si>
    <t>Assistenza sociale di base</t>
  </si>
  <si>
    <t>400</t>
  </si>
  <si>
    <t>COMPETENZA ANNO 2022</t>
  </si>
  <si>
    <t>Titolo 2 - Spese in conto capitale</t>
  </si>
  <si>
    <t>Contributo Regione Veneto promozione inclusione sociale (Del. G.R. 87/2018)</t>
  </si>
  <si>
    <t>1.01.01.76.000</t>
  </si>
  <si>
    <t>Trasferimento da Comune di Grisignano di Zocco per rimborso spese gestione biblioteca in convenzione</t>
  </si>
  <si>
    <t>Contributo statale per messa in sicurezza strade comunali - Legge 145/2018 Art. 1 c. 107</t>
  </si>
  <si>
    <t>Contributo Regione Veneto per attivazione funzione associata servizi scolastici Comune di Montegalda-Grisignano di Zocco</t>
  </si>
  <si>
    <t>Contributo regionale per messa in sicurezza della viabilità del territorio comunale, strade e marciapiedi</t>
  </si>
  <si>
    <t>Contributo regionale per lavori di collegamento con fibra ottica tra i Comuni di Grisignano e Montegalda</t>
  </si>
  <si>
    <t>Contributo da Provincia di Vicenza per adeguamento viabilità e parcheggi Vie Cattaneo, Julia e 2 Giugno</t>
  </si>
  <si>
    <t>Riversamento introiti per rilascio carte d'identità elettroniche</t>
  </si>
  <si>
    <t>Collaborazione per servizio di polizia municipale ed amministrativa</t>
  </si>
  <si>
    <t>Spese funzionamento scuole elementari - Utenze</t>
  </si>
  <si>
    <t>605/1</t>
  </si>
  <si>
    <t>Spese gestione biblioteca comunale Comune di Grisignano in convenzione con il Comune di Montegalda</t>
  </si>
  <si>
    <t>Manutenzione ordinaria strade comunali</t>
  </si>
  <si>
    <t>860/1</t>
  </si>
  <si>
    <t>865/1</t>
  </si>
  <si>
    <t>Assistente sociale convenzione con il Comune di Grisignano di Zocco</t>
  </si>
  <si>
    <r>
      <t xml:space="preserve">TOTALE PROGRAMMA 3 </t>
    </r>
    <r>
      <rPr>
        <b/>
        <sz val="10"/>
        <color indexed="12"/>
        <rFont val="Arial"/>
        <family val="2"/>
      </rPr>
      <t>(Sostegno all'occupazione)</t>
    </r>
  </si>
  <si>
    <t>Progetto Regione Veneto promozione inclusione sociale (Del. G.R. 87/2018)</t>
  </si>
  <si>
    <t>Contributi per interventi assistenziali derivanti da economia indennità presenza consiglieri</t>
  </si>
  <si>
    <t>Acquisto automezzo servizi sociali Comune di Grisignano di Zocco rif. Convenzione servizi sociali</t>
  </si>
  <si>
    <t>Trasferimento a Comune di Grisignano per acquisto pc protezione civile</t>
  </si>
  <si>
    <t>Nuovo campo di inumazione nel cimitero di Colzè</t>
  </si>
  <si>
    <t>Ampliamento e sistemazione cimitero Colzè</t>
  </si>
  <si>
    <t>Mutuo per interventi di realizzazione pista ciclabile Via Borgo - 2° Stralcio - tratto Cecchetto--Feriani</t>
  </si>
  <si>
    <t xml:space="preserve">Titolo 2 - Spese in conto capitale </t>
  </si>
  <si>
    <r>
      <t>Ammontare interessi per mutui, prestiti obbligazionari, aperture di credito e garanzie di cui all'articolo 207 del TUEL autorizzati fino al 31/12/2021 (</t>
    </r>
    <r>
      <rPr>
        <i/>
        <sz val="10"/>
        <rFont val="Arial"/>
        <family val="2"/>
      </rPr>
      <t>esercizio precedente) (2)</t>
    </r>
  </si>
  <si>
    <t>Ammontare interessi per mutui, prestiti obbligazionari, aperture di credito e garanzie di cui all'articolo 207 del TUEL autorizzati nell'esercizio in corso (2022)</t>
  </si>
  <si>
    <t>Titolo 1 - Spese correnti</t>
  </si>
  <si>
    <t>Proventi per la vendita di materiali da riciclaggio</t>
  </si>
  <si>
    <r>
      <t xml:space="preserve">ICI/IMU - Violazioni </t>
    </r>
    <r>
      <rPr>
        <sz val="10"/>
        <color indexed="10"/>
        <rFont val="Arial"/>
        <family val="2"/>
      </rPr>
      <t>(FCDE)</t>
    </r>
  </si>
  <si>
    <r>
      <t>Tributo sui rifiuti (TARI)</t>
    </r>
    <r>
      <rPr>
        <sz val="10"/>
        <color indexed="10"/>
        <rFont val="Arial"/>
        <family val="2"/>
      </rPr>
      <t xml:space="preserve"> (FCDE)</t>
    </r>
  </si>
  <si>
    <r>
      <t xml:space="preserve">Tributo sui rifiuti (TARI) - Violazioni </t>
    </r>
    <r>
      <rPr>
        <sz val="10"/>
        <color indexed="10"/>
        <rFont val="Arial"/>
        <family val="2"/>
      </rPr>
      <t>(FCDE)</t>
    </r>
  </si>
  <si>
    <r>
      <t>TASI - Attività di accertamento</t>
    </r>
    <r>
      <rPr>
        <sz val="10"/>
        <color indexed="10"/>
        <rFont val="Arial"/>
        <family val="2"/>
      </rPr>
      <t xml:space="preserve"> (FCDE)</t>
    </r>
  </si>
  <si>
    <r>
      <t>Sanzioni amministrative CDS</t>
    </r>
    <r>
      <rPr>
        <sz val="10"/>
        <color indexed="10"/>
        <rFont val="Arial"/>
        <family val="2"/>
      </rPr>
      <t xml:space="preserve"> (FCDE)</t>
    </r>
  </si>
  <si>
    <r>
      <t xml:space="preserve">Proventi per contravvenzioni CDS - Recupero anni pregressi </t>
    </r>
    <r>
      <rPr>
        <sz val="10"/>
        <color indexed="10"/>
        <rFont val="Arial"/>
        <family val="2"/>
      </rPr>
      <t>(FCDE)</t>
    </r>
  </si>
  <si>
    <t>Spese convenzione segreteria (Comune di Mestrino)</t>
  </si>
  <si>
    <t>Spese per mantenimento cani randagi</t>
  </si>
  <si>
    <t>Fondo garanzia debiti commerciali</t>
  </si>
  <si>
    <t>991/6</t>
  </si>
  <si>
    <t>Contributo Regione Veneto per ampliamento videosorveglianza-ecocentro comunale</t>
  </si>
  <si>
    <t>996/2</t>
  </si>
  <si>
    <t>Contributo Regione Veneto per acquisto automezzo servizi sociali</t>
  </si>
  <si>
    <t>Contributo Comune di Grisignano per acquisto automezzo servizi sociali</t>
  </si>
  <si>
    <t>Mutuo per realizzazione percorsi pedonali protetti in ambito urbano SP nr.21 Grimana: diramazione-stralcio B</t>
  </si>
  <si>
    <t>Fondo mobilità segretari comunali</t>
  </si>
  <si>
    <t>Acquisto nuovo server uffici comunali</t>
  </si>
  <si>
    <t>Programma integrato di riqualifcazione urbanistica</t>
  </si>
  <si>
    <t>Oneri previdenziali benefici contrattuali ex dipendente Pegoraro Domenico</t>
  </si>
  <si>
    <t>Sistemazione e asfaltatura via Settimo</t>
  </si>
  <si>
    <t>Potenziamento impianto di sorveglianza</t>
  </si>
  <si>
    <t>2070/6</t>
  </si>
  <si>
    <t>Pista ciclabile arfine fiume Bacchiglione</t>
  </si>
  <si>
    <t>Piano interventi parcheggi via Cattaneo, Julia, 2 Giugno</t>
  </si>
  <si>
    <t>2072/1</t>
  </si>
  <si>
    <t>Realizzazione percorsi pedonali protetti in ambito urbano S.P. nr.21 Grimana: diramazione stralcio B</t>
  </si>
  <si>
    <t>Convenzione con Provincia di Padova per realizzazione pista ciclabile fiume Bacchiglione</t>
  </si>
  <si>
    <t>PREVISIONE 2023</t>
  </si>
  <si>
    <t>PREVISIONE RISCOSSIONI 2023</t>
  </si>
  <si>
    <t>PREVISIONE PAGAMENTI 2023</t>
  </si>
  <si>
    <t>PREVISIONE FONDO CASSA AL 31.12.2023</t>
  </si>
  <si>
    <t>COMPETENZA ANNO 2023</t>
  </si>
  <si>
    <r>
      <t>ENTRATE RELATIVE AI PRIMI TRE TITOLI DELLE ENTRATE (previsioni esercizio 2023)</t>
    </r>
    <r>
      <rPr>
        <sz val="10"/>
        <rFont val="Arial"/>
        <family val="2"/>
      </rPr>
      <t xml:space="preserve">
 </t>
    </r>
    <r>
      <rPr>
        <i/>
        <sz val="10"/>
        <rFont val="Arial"/>
        <family val="2"/>
      </rPr>
      <t xml:space="preserve">(rendiconto penultimo anno precedente quello in cui viene prevista l'assunzione dei mutui), </t>
    </r>
    <r>
      <rPr>
        <sz val="10"/>
        <rFont val="Arial"/>
        <family val="2"/>
      </rPr>
      <t>ex art. 204, c. 1 del D.L.gs. N. 267/2000</t>
    </r>
  </si>
  <si>
    <r>
      <t>Ammontare interessi per mutui, prestiti obbligazionari, aperture di credito e garanzie di cui all'articolo 207 del TUEL autorizzati fino al 31/12/2022 (</t>
    </r>
    <r>
      <rPr>
        <i/>
        <sz val="10"/>
        <rFont val="Arial"/>
        <family val="2"/>
      </rPr>
      <t>esercizio precedente) (2)</t>
    </r>
  </si>
  <si>
    <r>
      <t>Debito contratto al 31/12/2022 (</t>
    </r>
    <r>
      <rPr>
        <i/>
        <sz val="10"/>
        <rFont val="Arial"/>
        <family val="2"/>
      </rPr>
      <t>esercizio precedente)</t>
    </r>
  </si>
  <si>
    <t>Debito autorizzato nell'esercizio in corso (2023)</t>
  </si>
  <si>
    <t>Allegato n.9 - Bilancio di previsione</t>
  </si>
  <si>
    <r>
      <t xml:space="preserve">   di cui  Fondo anticipazioni di liquidità </t>
    </r>
    <r>
      <rPr>
        <strike/>
        <sz val="11"/>
        <color indexed="8"/>
        <rFont val="Calibri"/>
        <family val="2"/>
      </rPr>
      <t xml:space="preserve">(DL 35/2013 e successive modifiche e rifinanziamenti) </t>
    </r>
  </si>
  <si>
    <t>ALTRE POSTE DIFFERENZIALI, PER ECCEZIONI PREVISTE DA NORME DI LEGGE E DA PRINCIPI CONTABILI, CHE  HANNO EFFETTO SULL’EQUILIBRIO  EX ARTICOLO 162, COMMA 6,  DEL TESTO UNICO DELLE LEGGI SULL’ORDINAMENTO DEGLI ENTI LOCALI</t>
  </si>
  <si>
    <r>
      <t xml:space="preserve">H) Utilizzo risultato  di amministrazione presunto per spese correnti </t>
    </r>
    <r>
      <rPr>
        <vertAlign val="superscript"/>
        <sz val="11"/>
        <color indexed="8"/>
        <rFont val="Calibri"/>
        <family val="2"/>
      </rPr>
      <t>(2)</t>
    </r>
  </si>
  <si>
    <t>I) Entrate di parte capitale destinate a spese correnti in base a specifiche disposizioni di legge o  dei principi contabili</t>
  </si>
  <si>
    <t>L) Entrate di parte corrente destinate a spese di investimento in base a specifiche disposizioni di legge o dei principi contabili</t>
  </si>
  <si>
    <r>
      <t xml:space="preserve">EQUILIBRIO DI PARTE CORRENTE </t>
    </r>
    <r>
      <rPr>
        <b/>
        <vertAlign val="superscript"/>
        <sz val="11"/>
        <color indexed="8"/>
        <rFont val="Calibri"/>
        <family val="2"/>
      </rPr>
      <t>(3)</t>
    </r>
  </si>
  <si>
    <t>Z = P+Q+R-C-I-S1-S2-T+L-M-U-V+E</t>
  </si>
  <si>
    <r>
      <t>Saldo  corrente  ai fini della copertura degli investimenti pluriennali</t>
    </r>
    <r>
      <rPr>
        <b/>
        <vertAlign val="superscript"/>
        <sz val="11"/>
        <color indexed="8"/>
        <rFont val="Calibri"/>
        <family val="2"/>
      </rPr>
      <t xml:space="preserve"> (4)</t>
    </r>
    <r>
      <rPr>
        <b/>
        <sz val="11"/>
        <color indexed="8"/>
        <rFont val="Calibri"/>
        <family val="2"/>
      </rPr>
      <t>:</t>
    </r>
  </si>
  <si>
    <t xml:space="preserve"> Equilibrio di parte corrente (O)</t>
  </si>
  <si>
    <t>Utilizzo risultato di amministrazione per il finanziamento di spese correnti (H)</t>
  </si>
  <si>
    <t>Equilibrio di parte corrente ai fini della copertura degli investimenti plurien.</t>
  </si>
  <si>
    <t>(1) Indicare gli anni di riferimento N, N+1 e N+2.</t>
  </si>
  <si>
    <r>
      <t xml:space="preserve">(2) </t>
    </r>
    <r>
      <rPr>
        <sz val="11"/>
        <color indexed="8"/>
        <rFont val="Calibri"/>
        <family val="2"/>
      </rPr>
      <t xml:space="preserve">In sede di approvazione del bilancio di previsione </t>
    </r>
    <r>
      <rPr>
        <sz val="11"/>
        <color indexed="8"/>
        <rFont val="Calibri"/>
        <family val="2"/>
      </rPr>
      <t xml:space="preserve">è consentito l'utilizzo della sola quota vincolata del risultato di amministrazione presunto. </t>
    </r>
    <r>
      <rPr>
        <sz val="11"/>
        <color indexed="8"/>
        <rFont val="Calibri"/>
        <family val="2"/>
      </rPr>
      <t>Nel corso dell'esercizi</t>
    </r>
    <r>
      <rPr>
        <sz val="11"/>
        <color indexed="8"/>
        <rFont val="Calibri"/>
        <family val="2"/>
      </rPr>
      <t xml:space="preserve">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t>
    </r>
    <r>
      <rPr>
        <sz val="11"/>
        <color indexed="8"/>
        <rFont val="Calibri"/>
        <family val="2"/>
      </rPr>
      <t>(o la variazione di bilancio)</t>
    </r>
    <r>
      <rPr>
        <sz val="11"/>
        <color indexed="8"/>
        <rFont val="Calibri"/>
        <family val="2"/>
      </rPr>
      <t xml:space="preserve"> è deliberato a seguito dell'approvazione del rendiconto dell'anno precedente.</t>
    </r>
  </si>
  <si>
    <t xml:space="preserve">(3) La somma algebrica finale non può essere inferiore a zero per il rispetto della disposizione di cui all’articolo 162 del testo unico delle leggi sull’ordinamento degli enti locali. </t>
  </si>
  <si>
    <t xml:space="preserve">(4)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 </t>
  </si>
  <si>
    <r>
      <t>A) Risultato  di amministrazione presunto al 31/12 N-1</t>
    </r>
    <r>
      <rPr>
        <b/>
        <strike/>
        <vertAlign val="superscript"/>
        <sz val="11"/>
        <rFont val="Calibri"/>
        <family val="2"/>
      </rPr>
      <t>(2)</t>
    </r>
    <r>
      <rPr>
        <b/>
        <vertAlign val="superscript"/>
        <sz val="11"/>
        <rFont val="Calibri"/>
        <family val="2"/>
      </rPr>
      <t xml:space="preserve">  </t>
    </r>
  </si>
  <si>
    <r>
      <t xml:space="preserve">Fondo anticipazioni liquidità </t>
    </r>
    <r>
      <rPr>
        <strike/>
        <sz val="11"/>
        <rFont val="Calibri"/>
        <family val="2"/>
      </rPr>
      <t>DL 35 del 2013 e successive modifiche e rifinanziamenti</t>
    </r>
    <r>
      <rPr>
        <vertAlign val="superscript"/>
        <sz val="11"/>
        <rFont val="Calibri"/>
        <family val="2"/>
      </rPr>
      <t>(5)</t>
    </r>
  </si>
  <si>
    <r>
      <t xml:space="preserve">F) di cui Disavanzo da debito autorizzato e non contratto </t>
    </r>
    <r>
      <rPr>
        <vertAlign val="superscript"/>
        <sz val="11"/>
        <rFont val="Calibri"/>
        <family val="2"/>
      </rPr>
      <t>(6)</t>
    </r>
  </si>
  <si>
    <r>
      <t xml:space="preserve">Se E è negativo, tale importo  è iscritto tra le spese del bilancio di previsione  come disavanzo da ripianare </t>
    </r>
    <r>
      <rPr>
        <b/>
        <vertAlign val="superscript"/>
        <sz val="11"/>
        <rFont val="Calibri"/>
        <family val="2"/>
      </rPr>
      <t>(7)</t>
    </r>
  </si>
  <si>
    <r>
      <t xml:space="preserve">3) Utilizzo quote vincolate del risultato di amministrazione  </t>
    </r>
    <r>
      <rPr>
        <b/>
        <sz val="11"/>
        <rFont val="Calibri"/>
        <family val="2"/>
      </rPr>
      <t xml:space="preserve">presunto al 31/12/N-1 </t>
    </r>
    <r>
      <rPr>
        <b/>
        <sz val="11"/>
        <rFont val="Calibri"/>
        <family val="2"/>
      </rPr>
      <t xml:space="preserve"> :</t>
    </r>
  </si>
  <si>
    <t xml:space="preserve">Solo per le Regioni e le Province autonome di Trento e di Bolzano. </t>
  </si>
  <si>
    <t>(7)</t>
  </si>
  <si>
    <r>
      <t>I</t>
    </r>
    <r>
      <rPr>
        <sz val="11"/>
        <rFont val="Calibri"/>
        <family val="2"/>
      </rPr>
      <t>n caso di risultato negativo, le regioni</t>
    </r>
    <r>
      <rPr>
        <b/>
        <sz val="11"/>
        <rFont val="Calibri"/>
        <family val="2"/>
      </rPr>
      <t xml:space="preserve"> iscrivono nel passivo del bilancio distintamente il disavanzo di amministrazione presunto da ripianare (lettera E al netto della lettera F) e il disavanzo derivante da debito autorizzato e non contratto (lettera F).</t>
    </r>
    <r>
      <rPr>
        <b/>
        <strike/>
        <sz val="11"/>
        <rFont val="Calibri"/>
        <family val="2"/>
      </rPr>
      <t xml:space="preserve">   </t>
    </r>
    <r>
      <rPr>
        <strike/>
        <sz val="11"/>
        <rFont val="Calibri"/>
        <family val="2"/>
      </rPr>
      <t>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r>
  </si>
  <si>
    <t>Allegato a/1)  Risultato di amministrazione - quote accantonate</t>
  </si>
  <si>
    <t>ELENCO ANALITICO DELLE RISORSE ACCANTONATE NEL RISULTATO DI AMMINISTRAZIONE PRESUNTO (*)</t>
  </si>
  <si>
    <t xml:space="preserve">Capitolo di spesa </t>
  </si>
  <si>
    <t>descrizione</t>
  </si>
  <si>
    <t>Risorse accantonate  al 1/1/ N-1</t>
  </si>
  <si>
    <r>
      <t>Risorse accantonate applicate al bilancio
dell'esercizio  N-1 (con segno -</t>
    </r>
    <r>
      <rPr>
        <b/>
        <vertAlign val="superscript"/>
        <sz val="11"/>
        <rFont val="Times New Roman"/>
        <family val="1"/>
      </rPr>
      <t>1</t>
    </r>
    <r>
      <rPr>
        <b/>
        <sz val="11"/>
        <rFont val="Times New Roman"/>
        <family val="1"/>
      </rPr>
      <t>)</t>
    </r>
  </si>
  <si>
    <t>Risorse accantonate stanziate nella spesa del bilancio  dell'esercizio N-1</t>
  </si>
  <si>
    <r>
      <t xml:space="preserve">Variazione degli accantonamenti che si prevede di effettuare </t>
    </r>
    <r>
      <rPr>
        <b/>
        <strike/>
        <sz val="12"/>
        <rFont val="Times New Roman"/>
        <family val="1"/>
      </rPr>
      <t xml:space="preserve"> </t>
    </r>
    <r>
      <rPr>
        <b/>
        <sz val="12"/>
        <rFont val="Times New Roman"/>
        <family val="1"/>
      </rPr>
      <t xml:space="preserve">in sede di  rendiconto N-1 (con segno +/-) </t>
    </r>
    <r>
      <rPr>
        <b/>
        <vertAlign val="superscript"/>
        <sz val="12"/>
        <rFont val="Times New Roman"/>
        <family val="1"/>
      </rPr>
      <t>(2)</t>
    </r>
  </si>
  <si>
    <t>Risorse accantonate  nel risultato di amministrazione presunto
al 31/12/ N-1</t>
  </si>
  <si>
    <t>Risorse accantonate   presunte
al 31/12/ N-1  applicate al primo esercizio del bilancio di previsione</t>
  </si>
  <si>
    <t>(a)</t>
  </si>
  <si>
    <t>(b)</t>
  </si>
  <si>
    <t>(c)</t>
  </si>
  <si>
    <t>(d)</t>
  </si>
  <si>
    <t>(e)=(a)+(b)+( c)+(d)</t>
  </si>
  <si>
    <t>(f)</t>
  </si>
  <si>
    <t xml:space="preserve">Fondo anticipazioni liquidità </t>
  </si>
  <si>
    <t xml:space="preserve">Totale Fondo anticipazioni liquidità </t>
  </si>
  <si>
    <t>Fondo  perdite società partecipate</t>
  </si>
  <si>
    <t>Totale Fondo  perdite società partecipate</t>
  </si>
  <si>
    <t>Fondo contezioso</t>
  </si>
  <si>
    <t>Totale Fondo contezioso</t>
  </si>
  <si>
    <t xml:space="preserve">Totale Fondo crediti di dubbia esigibilità </t>
  </si>
  <si>
    <t xml:space="preserve">Accantonamento residui perenti (solo per le regioni)  </t>
  </si>
  <si>
    <t xml:space="preserve">Totale Accantonamento residui perenti  (solo per le regioni)  </t>
  </si>
  <si>
    <r>
      <t>Altri accantonamenti</t>
    </r>
    <r>
      <rPr>
        <vertAlign val="superscript"/>
        <sz val="12"/>
        <color indexed="8"/>
        <rFont val="Times New Roman"/>
        <family val="1"/>
      </rPr>
      <t>(4)</t>
    </r>
  </si>
  <si>
    <t>Totale Altri accantonamenti</t>
  </si>
  <si>
    <t xml:space="preserve">Totale </t>
  </si>
  <si>
    <t>(*) Allegato obbligatorio nel caso in cui il bilancio di previsione approvato nel corso dell'esercizio N preveda l’utilizzo delle quote accantonate del risultato di amministrazione presunto</t>
  </si>
  <si>
    <r>
      <t>(1)</t>
    </r>
    <r>
      <rPr>
        <i/>
        <sz val="7"/>
        <color indexed="8"/>
        <rFont val="Times New Roman"/>
        <family val="1"/>
      </rPr>
      <t xml:space="preserve">   </t>
    </r>
    <r>
      <rPr>
        <i/>
        <sz val="12"/>
        <color indexed="8"/>
        <rFont val="Times New Roman"/>
        <family val="1"/>
      </rPr>
      <t>Indicare, con il segno (-), l’utilizzo dei fondi accantonati attraverso l'applicazione in bilancio della corrispondente quota del risultato di amministrazione.</t>
    </r>
  </si>
  <si>
    <t>(2)  Indicare con il segno (+) i maggiori accantonamenti nel risultato di amministrazione effettuati in sede di predisposizione del rendiconto, e con il segno (-) , le riduzioni degli accantonamenti effettuati in sede di predisposizione del rendiconto.</t>
  </si>
  <si>
    <r>
      <t>(4)</t>
    </r>
    <r>
      <rPr>
        <i/>
        <sz val="7"/>
        <color indexed="8"/>
        <rFont val="Times New Roman"/>
        <family val="1"/>
      </rPr>
      <t> </t>
    </r>
    <r>
      <rPr>
        <i/>
        <sz val="12"/>
        <color indexed="8"/>
        <rFont val="Times New Roman"/>
        <family val="1"/>
      </rPr>
      <t>I fondi di riserva e i fondi speciali non confluiscono nella quota accantonata del risultato di amministrazione.</t>
    </r>
  </si>
  <si>
    <t>Allegato a/2)  Risultato di amministrazione - quote vincolate</t>
  </si>
  <si>
    <t>ELENCO ANALITICO DELLE RISORSE VINCOLATE NEL RISULTATO DI AMMINISTRAZIONE PRESUNTO (*)</t>
  </si>
  <si>
    <t>Cap.  di entrata</t>
  </si>
  <si>
    <t>Descr.</t>
  </si>
  <si>
    <t>Risorse vinc. al 1/1/ N-1</t>
  </si>
  <si>
    <t>Entrate vincolate accertate nell'esercizio N-1 (dati presunti)</t>
  </si>
  <si>
    <t>Impegni presunti eserc. N-1 finanziati da entrate vincolate accertate nell'esercizio o da quote vincolate del risultato di amministrazione ( dati presunti)</t>
  </si>
  <si>
    <t>Fondo plur. vinc.  al 31/12/N-1 finanziato da entrate vincolate accertate nell'esercizio o da quote vincolate del risultato di amministrazione (dati presunti)</t>
  </si>
  <si>
    <r>
      <t>Cancellazione nell'esercizio N-1  di residui attivi vincolati o eliminazione del vincolo su quote del risultato di amministrazione (+) e cancellazione nell'esercizio N-1 di residui passivi finanziati da risorse vincolate (-) (gestione dei residui)</t>
    </r>
    <r>
      <rPr>
        <b/>
        <strike/>
        <sz val="11"/>
        <rFont val="Times New Roman"/>
        <family val="1"/>
      </rPr>
      <t>:</t>
    </r>
    <r>
      <rPr>
        <b/>
        <sz val="11"/>
        <rFont val="Times New Roman"/>
        <family val="1"/>
      </rPr>
      <t xml:space="preserve"> (dati presunti) </t>
    </r>
  </si>
  <si>
    <t>Cancellazione nell'esercizio N-1 di impegni finanziati dal fondo pluriennale vincolato dopo l'approvazione del rendiconto dell'esercizio N-2 se non reimpegnati  nell'esercizio N-1 (+)</t>
  </si>
  <si>
    <t>Risorse vincolate nel risultato di amministrazione presunto al 31/12/N-1</t>
  </si>
  <si>
    <t>Risorse vincolate presunte al 31/12/N-1 applicate al primo esercizio del bilancio di previsione</t>
  </si>
  <si>
    <t>(e)</t>
  </si>
  <si>
    <t>(g)=(a) +(b)         -( c)-(d)-(e)-(f)</t>
  </si>
  <si>
    <t>(i)</t>
  </si>
  <si>
    <t>Vincoli derivanti dalla legge</t>
  </si>
  <si>
    <t>Totale vincoli derivanti dalla legge (h/1)</t>
  </si>
  <si>
    <t>Vincoli derivanti da Trasferimenti</t>
  </si>
  <si>
    <t>Totale vincoli derivanti da trasferimenti (h/2)</t>
  </si>
  <si>
    <t>Vincoli derivanti da finanziamenti</t>
  </si>
  <si>
    <t>Totale vincoli derivanti da finanziamenti (h/3)</t>
  </si>
  <si>
    <t>Vincoli formalmente attribuiti dall'ente</t>
  </si>
  <si>
    <t>Totale vincoli formalmente attribuiti dall'ente (h/4)</t>
  </si>
  <si>
    <t>Altri vincoli</t>
  </si>
  <si>
    <t>Totale altri vincoli  (h/5)</t>
  </si>
  <si>
    <r>
      <t>Totale risorse vincolate</t>
    </r>
    <r>
      <rPr>
        <b/>
        <vertAlign val="superscript"/>
        <sz val="12"/>
        <color indexed="8"/>
        <rFont val="Times New Roman"/>
        <family val="1"/>
      </rPr>
      <t xml:space="preserve">  </t>
    </r>
    <r>
      <rPr>
        <b/>
        <sz val="12"/>
        <color indexed="8"/>
        <rFont val="Times New Roman"/>
        <family val="1"/>
      </rPr>
      <t>(h +(h/1)+(h/2)+(h/3)+(h/4)+(h/5)</t>
    </r>
  </si>
  <si>
    <t>Totale quote accantonate riguardanti le risorse vincolate da legge (i/1)</t>
  </si>
  <si>
    <t>Totale quote accantonate riguardanti le risorse vincolate da trasferimenti (i/2)</t>
  </si>
  <si>
    <t>Totale quote accantonate riguardanti le risorse vincolate da finanziamenti (i/3)</t>
  </si>
  <si>
    <t>Totale quote accantonate riguardanti le risorse vincolate dall'ente  (i/4)</t>
  </si>
  <si>
    <t>Totale quote accantonate riguardanti le risorse vincolate da altro (i/5)</t>
  </si>
  <si>
    <t>Totale quote accantonate riguardanti le risorse vincolate  (i=i/1+i/2+i/3+i/4+i/5)</t>
  </si>
  <si>
    <t>Totale risorse vincolate da legge al netto  di quelle che sono state oggetto di accantonamenti (l/1=h/1-i/1)</t>
  </si>
  <si>
    <t>Totale risorse vincolate da trasferimenti al netto di quelle che sono state oggetto di accantonamenti (l/2=h/2-i/2)</t>
  </si>
  <si>
    <t>Totale risorse vincolate da finanziamenti al netto di quelle che sono state oggetto di accantonamenti (l/3=h/3-i/3)</t>
  </si>
  <si>
    <t>Totale risorse vincolate dall'Ente al netto di quelle che sono state oggetto di accantonamenti (l/4=h/4-i/4)</t>
  </si>
  <si>
    <t>Totale risorse vincolate da altro al netto di quelle che sono state oggetto di accantonamenti (l/5=h5-i/5)</t>
  </si>
  <si>
    <r>
      <t>Totale risorse vincolate al netto di quelle che sono state oggetto di accantonamenti (l=h-i)</t>
    </r>
    <r>
      <rPr>
        <b/>
        <vertAlign val="superscript"/>
        <sz val="12"/>
        <color indexed="8"/>
        <rFont val="Times New Roman"/>
        <family val="1"/>
      </rPr>
      <t>(1)</t>
    </r>
  </si>
  <si>
    <t>(*) Allegato obbligatorio nel caso in cui il bilancio di previsione preveda l’utilizzo delle quote vincolate del risultato di amministrazione presunto</t>
  </si>
  <si>
    <t>(1) Importo immediatamente utilizzabile nelle more dell'approvazione del rendiconto. Nel corso dell'esercizio provvisorio è utilizzabile nei limiti di quanto previsto nel principio applicato della contabilità finanziaria.</t>
  </si>
  <si>
    <t>Allegato a/3)  Risultato di amministrazione - quote destinate</t>
  </si>
  <si>
    <t>ELENCO ANALITICO DELLE RISORSE DESTINATE AGLI INVESTIMENTI NEL RISULTATO DI AMMINISTRAZIONE PRESUNTO (*)</t>
  </si>
  <si>
    <t>Capitolo di entrata</t>
  </si>
  <si>
    <t>Descriz.</t>
  </si>
  <si>
    <t>Capitolo di spesa</t>
  </si>
  <si>
    <r>
      <t xml:space="preserve">Risorse destinate agli investim. 
</t>
    </r>
    <r>
      <rPr>
        <b/>
        <sz val="10"/>
        <color indexed="8"/>
        <rFont val="Times New Roman"/>
        <family val="1"/>
      </rPr>
      <t>al 1/1/ N-1</t>
    </r>
  </si>
  <si>
    <t>Entrate destinate agli investimenti accertate nell'esercizio N -1 (dato presunto)</t>
  </si>
  <si>
    <t xml:space="preserve">Impegni  eserc. N-1 finanziati da entrate destinate accertate nell'esercizio o da quote destinate  del risultato di amministrazione ( dati presunti) 
</t>
  </si>
  <si>
    <t>Fondo plurien. vinc.  al 31/12/N-1 finanziato da entrate destinate accertate nell'esercizio o da quote destinate  del risultato di amministrazione</t>
  </si>
  <si>
    <t>Cancellazione di residui attivi costituiti da risorse destinate agli investimenti  o eliminazione della destinazione  su quote del risultato di amministrazione (+) e cancellazione di residui passivi finanziati da risorse destinate agli investimenti (-) (gestione dei residui)</t>
  </si>
  <si>
    <t>Risorse destinate agli investimenti nel risultato di amministrazione presunto al 31/12/ N-1</t>
  </si>
  <si>
    <t>Risorse destinate agli investimenti nel risultato presunte al 31/12/ N-1 applicate al primo esercizio del bilancio di previsione</t>
  </si>
  <si>
    <t>(f)=(a) +(b) -( c)-(d)-(e)</t>
  </si>
  <si>
    <t>(g)</t>
  </si>
  <si>
    <t>Totale quote accantonate nel risultato di amministrzione presunto riguardanti  le risorse destinate agli investimenti</t>
  </si>
  <si>
    <r>
      <t xml:space="preserve">Totale risorse destinate nel risultato di amministrazione presunto al netto di quelle che sono state oggetto di accantonamenti </t>
    </r>
    <r>
      <rPr>
        <b/>
        <vertAlign val="superscript"/>
        <sz val="12"/>
        <color indexed="8"/>
        <rFont val="Times New Roman"/>
        <family val="1"/>
      </rPr>
      <t>(1)</t>
    </r>
  </si>
  <si>
    <t xml:space="preserve">(*) Allegato obbligatorio nel caso in cui il bilancio di previsione approvato dopo l'approvazione del rendiconto dell'esercizio N-1  preveda l’utilizzo delle quote del risultato di amministrazione destinate agli investimenti </t>
  </si>
  <si>
    <t>(1) Le risorse destinate agli investimenti costituiscono una componente del risultato di amministrazione utilizzabile solo a seguito dell'approvazione del rendiconto dell'esercizio precedente.</t>
  </si>
  <si>
    <t>IRAP retribuzioni ufficio segreteria</t>
  </si>
  <si>
    <t>Retribuzioni comando polizia municipale</t>
  </si>
  <si>
    <t>Oneri contributivi comando polizia municipale</t>
  </si>
  <si>
    <t>Oneri contributivi su salario accessorio personale dipendente (incentivo recupero evasione tributaria)</t>
  </si>
  <si>
    <t>Fondo salario accessorio personale dipendente (incentivo recupero evasione tributaria)</t>
  </si>
  <si>
    <t>IRAP su salario accessorio personale dipendente (incentivo recupero evasione tributaria)</t>
  </si>
  <si>
    <t>3.05.99.02.000</t>
  </si>
  <si>
    <t>2.01.01.01.001</t>
  </si>
  <si>
    <t>Trasferimento Stato - Protezione Civile Nazionale - per emergenza sanitaria coronavirus</t>
  </si>
  <si>
    <t>Introiti e rimborsi diversi (quota ristoro mutui fognatura e concessione rete gas)</t>
  </si>
  <si>
    <t>Altre ritenute al personale c/terzi</t>
  </si>
  <si>
    <t>151/1</t>
  </si>
  <si>
    <t>Utenze e canoni per uffici comunali</t>
  </si>
  <si>
    <t>Spese per acquisto di beni e servizi per emergenza coronavirus Covid-19</t>
  </si>
  <si>
    <t>1.04.04.01.001</t>
  </si>
  <si>
    <t>Servizio utilizzo obitorio ospedaliero</t>
  </si>
  <si>
    <t>Fondo rischi e accantonamenti futuri (indennità fine mandato)</t>
  </si>
  <si>
    <t>Adeguamento viabilità e parcheggi Vie Cattaneo, Julia, 2 Giugno - Primo stralcio</t>
  </si>
  <si>
    <t>Realizzazione nuovo parcheggio cimitero di Colzè</t>
  </si>
  <si>
    <t>2065/4</t>
  </si>
  <si>
    <t>Lavori di risanamento platea palatenda impianti sportivi Settecolli</t>
  </si>
  <si>
    <t>Contributo Regione Veneto per realizzazione nuovo parcheggio cimitero di Colzè (Spesa capitolo 2155)</t>
  </si>
  <si>
    <t>Contributo regionale per percorso pedociclabile di via Borgo-Secondo stralcio (Spesa capitolo 2070/17)</t>
  </si>
  <si>
    <t>Spesa per assistenza impianto di videosorveglianza</t>
  </si>
  <si>
    <t>3.05.99.99.999</t>
  </si>
  <si>
    <t>Rimborso da privati per soccombenza liti legali</t>
  </si>
  <si>
    <t>977/4</t>
  </si>
  <si>
    <t>Acquisto libri biblioteca (Contributo Stato COVID) (Entrata cap. 131)</t>
  </si>
  <si>
    <t>Trasferimento Stato per acquisto libri biblioteca (COVID) (Spesa capitolo 601)</t>
  </si>
  <si>
    <t>Contributo statale per acquisto arredi scolastici emergenza COVID 2020 (Spesa capitolo 1511)</t>
  </si>
  <si>
    <t>Acquisto mobili ed attrezzature scolastiche emergenza COVID 2020 (finanziato con contributo Stato) (Entrata capitolo 977/4)</t>
  </si>
  <si>
    <t>Acquisto mobili ed attrezzature scolastiche emergenza COVID 2020 (finanziato con fondi propri)</t>
  </si>
  <si>
    <t>Pista ciclabile Via Roi tratto Monastero San Marco-Via Fogazzaro - Spese di progettazione (finanziato con contributo Stato)(Entrata capitolo 976)</t>
  </si>
  <si>
    <t>Contributo statale per progettazione pista ciclabile Via Roi tratto monastero San Marco-Via Fogazzaro (Spesa capitolo 2075)</t>
  </si>
  <si>
    <t>Rifacimento illuminazione con impianto LED palatenda impianti sportivi Settecolli</t>
  </si>
  <si>
    <t>Trasferimento a Comune di Grisignano per rifacimento ponticello su scolo Paluella pista ciclabile Trevisio Ostiglia</t>
  </si>
  <si>
    <t>Realizzazione P.A.T. (Piano assetto territoriale)</t>
  </si>
  <si>
    <t>Contributo Provincia per progettazione viabilità Via Cattaneo (Spesa capitolo 1524)</t>
  </si>
  <si>
    <t>Contributo statale per realizzazione idrovora Gabarda -Legge 205/2017 art. 1 comma 853</t>
  </si>
  <si>
    <t>2070/20</t>
  </si>
  <si>
    <t>2070/21</t>
  </si>
  <si>
    <t>996/3</t>
  </si>
  <si>
    <t>Contributo statale per realizzazione cappotto esterno scuole medie (Spesa capitolo 2039)</t>
  </si>
  <si>
    <t>Riqualificazione arredo urbano e aree verdi comunali (Entrata cap. 1050)</t>
  </si>
  <si>
    <t>Adeguamento rotatoria Via Valsolda con realizzazione pista ciclabile tratto rotatoria-casa Pegoraro (Entrata capitolo 1050)</t>
  </si>
  <si>
    <t>Contributo Provincia per percorso pedociclabile di Via Borgo 2° stralcio</t>
  </si>
  <si>
    <t>133/1</t>
  </si>
  <si>
    <t>Trasferimento Stato - Per esercizio funzioni fondamentali su emergenza sanitaria coronavirus - per compensare minori entrate IMU</t>
  </si>
  <si>
    <t>133/2</t>
  </si>
  <si>
    <t>Trasferimento Stato - Per esercizio funzioni fondamentali su emergenza sanitaria coronavirus - per compensare minori entrate TARI</t>
  </si>
  <si>
    <t>Trasferimento Stato - Per esercizio funzioni fondamentali su emergenza sanitaria coronavirus - per compensare minori entrate COSAP</t>
  </si>
  <si>
    <t>Compartecipazione spese Consorzio vigilanza</t>
  </si>
  <si>
    <t>Quota TEFA alla  Provincia su TARES</t>
  </si>
  <si>
    <t>Trasferimento fondi da privati (donazioni per emergenza Covid)</t>
  </si>
  <si>
    <t>Spese di progettazione relative a costruzione nuova scuola primaria A. Fogazzaro</t>
  </si>
  <si>
    <r>
      <t>P) Utilizzo risultato di amministrazione presunto per spese di investimento</t>
    </r>
    <r>
      <rPr>
        <vertAlign val="superscript"/>
        <sz val="11"/>
        <color indexed="8"/>
        <rFont val="Calibri"/>
        <family val="2"/>
      </rPr>
      <t xml:space="preserve"> (2)</t>
    </r>
  </si>
  <si>
    <t>Fondo di riserva di cassa</t>
  </si>
  <si>
    <t>960/1</t>
  </si>
  <si>
    <t>3.04.07.01.001</t>
  </si>
  <si>
    <t>5.04.07.01.001</t>
  </si>
  <si>
    <t>1.10.99.99.999</t>
  </si>
  <si>
    <t>1.04.01.01.001</t>
  </si>
  <si>
    <t>1.01.02.01.001</t>
  </si>
  <si>
    <t>1.01.01.01.004</t>
  </si>
  <si>
    <t>1.04.02.03.001</t>
  </si>
  <si>
    <t>1.03.02.99.999</t>
  </si>
  <si>
    <t>1.01.01.01.001</t>
  </si>
  <si>
    <t>1.03.02.15.009</t>
  </si>
  <si>
    <t>1.04.02.02.999</t>
  </si>
  <si>
    <t>1.10.01.01.001</t>
  </si>
  <si>
    <t>1.06.01.01.002</t>
  </si>
  <si>
    <t>1.06.01.01.001</t>
  </si>
  <si>
    <t>1.03.02.19.001</t>
  </si>
  <si>
    <t>1.01.01.01.006</t>
  </si>
  <si>
    <t>1.04.01.02.003</t>
  </si>
  <si>
    <t>1.02.01.01.001</t>
  </si>
  <si>
    <t>2.02.01.09.999</t>
  </si>
  <si>
    <t>2.02.01.99.999</t>
  </si>
  <si>
    <t>2.02.01.09.003</t>
  </si>
  <si>
    <t>2065/6</t>
  </si>
  <si>
    <t>2070/23</t>
  </si>
  <si>
    <t>2070/24</t>
  </si>
  <si>
    <t>2.02.01.09.016</t>
  </si>
  <si>
    <t>2.02.01.05.999</t>
  </si>
  <si>
    <t>2.02.02.01.999</t>
  </si>
  <si>
    <t>2.03.01.02.003</t>
  </si>
  <si>
    <t>2.02.01.09.012</t>
  </si>
  <si>
    <t>2.02.01.09.015</t>
  </si>
  <si>
    <r>
      <t>Debito contratto al 31/12/2021 (</t>
    </r>
    <r>
      <rPr>
        <i/>
        <sz val="10"/>
        <rFont val="Arial"/>
        <family val="2"/>
      </rPr>
      <t>esercizio precedente)</t>
    </r>
  </si>
  <si>
    <t>Sportello Unico atttività Edilizia ( SUE)</t>
  </si>
  <si>
    <t>2.04.21.02.999</t>
  </si>
  <si>
    <t>2.02.01.01.000</t>
  </si>
  <si>
    <t>2.05.99.99.999</t>
  </si>
  <si>
    <t>Trasferimento Stato - D.L. 154 del 24/11/2020 per maggiori spese trasporto scolastico</t>
  </si>
  <si>
    <t>2.01.02.01.000</t>
  </si>
  <si>
    <t>102</t>
  </si>
  <si>
    <t>2065/7</t>
  </si>
  <si>
    <t>2070/25</t>
  </si>
  <si>
    <t>977/5</t>
  </si>
  <si>
    <t>Contributo Provincia di  Vicenza per adeguamento della viabilità di Via Zocco (tratto famiglia Coppo) e tratto rotatoria Via Valsolda) e asfaltature (Spesa capitolo 2039)</t>
  </si>
  <si>
    <t>Servizio necroscopico cimiteriale (concessioni cimiteriali)</t>
  </si>
  <si>
    <t>3.01.03.01.00</t>
  </si>
  <si>
    <t>PREVISIONE 2024</t>
  </si>
  <si>
    <t>COMPETENZA ANNO 2024</t>
  </si>
  <si>
    <t>FONDO CASSA AL 1° GENNAIO 2024 (presunto)</t>
  </si>
  <si>
    <t>PREVISIONE RISCOSSIONI 2024</t>
  </si>
  <si>
    <t>PREVISIONE PAGAMENTI 2024</t>
  </si>
  <si>
    <t>PREVISIONE FONDO CASSA AL 31.12.2024</t>
  </si>
  <si>
    <t>EQUILIBRI DI BILANCIO 2022-2024</t>
  </si>
  <si>
    <t>COMPETENZA ANNO DI RIFERIMENTO DEL BILANCIO 2022</t>
  </si>
  <si>
    <t>EQUILIBRI DI BILANCIO</t>
  </si>
  <si>
    <r>
      <t>ENTRATE RELATIVE AI PRIMI TRE TITOLI DELLE ENTRATE (previsioni esercizio 2024)</t>
    </r>
    <r>
      <rPr>
        <sz val="10"/>
        <rFont val="Arial"/>
        <family val="2"/>
      </rPr>
      <t xml:space="preserve">
 </t>
    </r>
    <r>
      <rPr>
        <i/>
        <sz val="10"/>
        <rFont val="Arial"/>
        <family val="2"/>
      </rPr>
      <t xml:space="preserve">(rendiconto penultimo anno precedente quello in cui viene prevista l'assunzione dei mutui), </t>
    </r>
    <r>
      <rPr>
        <sz val="10"/>
        <rFont val="Arial"/>
        <family val="2"/>
      </rPr>
      <t>ex art. 204, c. 1 del D.L.gs. N. 267/2000</t>
    </r>
  </si>
  <si>
    <r>
      <t>Ammontare interessi per mutui, prestiti obbligazionari, aperture di credito e garanzie di cui all'articolo 207 del TUEL autorizzati fino al 31/12/2023 (</t>
    </r>
    <r>
      <rPr>
        <i/>
        <sz val="10"/>
        <rFont val="Arial"/>
        <family val="2"/>
      </rPr>
      <t>esercizio precedente) (2)</t>
    </r>
  </si>
  <si>
    <t>Ammontare interessi per mutui, prestiti obbligazionari, aperture di credito e garanzie di cui all'articolo 207 del TUEL autorizzati nell'esercizio in corso (2024)</t>
  </si>
  <si>
    <r>
      <t>Debito contratto al 31/12/2023 (</t>
    </r>
    <r>
      <rPr>
        <i/>
        <sz val="10"/>
        <rFont val="Arial"/>
        <family val="2"/>
      </rPr>
      <t>esercizio precedente)</t>
    </r>
  </si>
  <si>
    <t>Debito autorizzato nell'esercizio in corso (2024)</t>
  </si>
  <si>
    <r>
      <t>Ammontare interessi per mutui, prestiti obbligazionari, aperture di credito e garanzie di cui all'articolo 207 del TUEL autorizzati fino al 31/12 (</t>
    </r>
    <r>
      <rPr>
        <i/>
        <sz val="10"/>
        <rFont val="Arial"/>
        <family val="2"/>
      </rPr>
      <t>esercizio precedente) (2)</t>
    </r>
  </si>
  <si>
    <t>133/3</t>
  </si>
  <si>
    <t>133/5</t>
  </si>
  <si>
    <t>Trasferimento Stato - Per esercizio funzioni fondamentali su emergenza sanitaria coronavirus - per compensare minori entrate addizionale comunale IRPEF</t>
  </si>
  <si>
    <t>133/6</t>
  </si>
  <si>
    <t>Trasferimento Stato per agevolazioni TARI non domestiche 2021 (Art. 6 D.L. 73/2021)</t>
  </si>
  <si>
    <t>Contributo Ministero Interno per trasferimento seggio elettorale Montegalda presso palestra scuole medie</t>
  </si>
  <si>
    <t>TITOLO 2 - Tipologia 102</t>
  </si>
  <si>
    <t>Spese per trasferimento seggio elettorale da scuole elementari a palestra scuole medie - Elezioni amministrative 2021</t>
  </si>
  <si>
    <t>Retribuzioni segretario comunale</t>
  </si>
  <si>
    <t>IRAP su retribuzione segretario comunale</t>
  </si>
  <si>
    <t>1.02.01.02.000</t>
  </si>
  <si>
    <t>Spese riscossione entrate comunali - Attivazione PAGOPA</t>
  </si>
  <si>
    <t>Retribuzione personale ufficio anagrafe</t>
  </si>
  <si>
    <t>Oneri previdenziali ed assistenziali a carico Ente personale ufficio anagrafe</t>
  </si>
  <si>
    <t>IRAP su retribuzioni personale dipendente ufficio anagrafe</t>
  </si>
  <si>
    <t>Spese per gestione impianto videosorveglianza (contributo alle Parrocchie di Colzè e Montegalda)</t>
  </si>
  <si>
    <t>Canone annuo adesione Consiglio di Bacino di Vicenza per la gestione dei rifiuti</t>
  </si>
  <si>
    <t>COMPETENZA ANNO 2021 (AL 19.10.2021)</t>
  </si>
  <si>
    <t>Contributo Stato Ministero Istruzione per lavori adeguamento e messa in sicurezza scuole (D.M. 247/2021 (Spesa capitolo 2060)</t>
  </si>
  <si>
    <t>Contributo Regione Veneto per acquisto attrezzature informatiche (DGR 1015/2020) (Spesa capitolo 1513)</t>
  </si>
  <si>
    <t>Contributo Provincia di Vicenza per realizzazione murales edificio scuole elementari (Spesa cap. 2082)</t>
  </si>
  <si>
    <t>TITOLO 4 - Tipologia 200</t>
  </si>
  <si>
    <t>Alienazione relitti stradali sdemanalizzati</t>
  </si>
  <si>
    <t xml:space="preserve">TITOLO 4 - Tipologia </t>
  </si>
  <si>
    <t>Mutui pagati da CDP e relativi a somministrazioni vecchi mutui non richieste</t>
  </si>
  <si>
    <t>Acquisto software gestionale Servizi cimiteriali - Attività produttive - Gestione contratti</t>
  </si>
  <si>
    <t>Realizzazione murales esterni presso scuole elementari (Entrata capitolo 997)</t>
  </si>
  <si>
    <t>Lavori adeguamento e messa in sicurezza scuole D.M. 247/2021 (Entrata capitolo 973)</t>
  </si>
  <si>
    <t>2137/1</t>
  </si>
  <si>
    <t>2.02.05.99.999</t>
  </si>
  <si>
    <t>Emergenza COVID adeguamento attrezzature verdi comunali</t>
  </si>
  <si>
    <t>Spesa assistenza sociale di competenza Comune di Grisignano di Zocco riferimento convenzione servizi sociali</t>
  </si>
  <si>
    <t>Spese riscossione tributi comunali</t>
  </si>
  <si>
    <t>Fondi per la contrattazione integrativa Ufficio Tecnico (comma 3, art. 113, D.Lgs. 50/2016) (Entrata capitolo 956)</t>
  </si>
  <si>
    <t>Oneri riflessi su fondi per la contrattazione integrativa Ufficio Tecnico (comma 3, art. 113, D.Lgs. 50/2016) (Entrata capitolo 956)</t>
  </si>
  <si>
    <t>IRAP su fondi per la contrattazione integrativa Ufficio Tecnico (comma 3, art. 113, D.Lgs. 50/2016) (Entrata capitolo 956)</t>
  </si>
  <si>
    <t>Servizio di manutenzione alla viabilità comunale</t>
  </si>
  <si>
    <t>Proventi concessioni edilizie e condono</t>
  </si>
  <si>
    <t>Rimborso spese di personale per servizio di front office gestione rifiuti (SO.RA.RIS.)</t>
  </si>
  <si>
    <t>PREVISIONE 2024                      (solo FPV)</t>
  </si>
  <si>
    <t>Canone occupazione spazi ed aree pubbliche (ex imposta sulla pubblicità)</t>
  </si>
  <si>
    <t>Proventi da concessione su beni (ex Tosap/Cosap)</t>
  </si>
  <si>
    <t>Mutuo per realizzazione nuova scuola primaria A.Fogazzaro (Spesa capitolo 2046)</t>
  </si>
  <si>
    <t>MISSIONE 17 - FONTI ENERGETICHE</t>
  </si>
  <si>
    <t>977/6</t>
  </si>
  <si>
    <t>977/7</t>
  </si>
  <si>
    <t>Spese convenzione anagrafe-segreteria con il Comune di Grisignano di Zocco</t>
  </si>
  <si>
    <r>
      <t>ENTRATE RELATIVE AI PRIMI TRE TITOLI DELLE ENTRATE (esercizio 2020)</t>
    </r>
    <r>
      <rPr>
        <sz val="10"/>
        <rFont val="Arial"/>
        <family val="2"/>
      </rPr>
      <t xml:space="preserve">
 </t>
    </r>
    <r>
      <rPr>
        <i/>
        <sz val="10"/>
        <rFont val="Arial"/>
        <family val="2"/>
      </rPr>
      <t xml:space="preserve">(rendiconto penultimo anno precedente quello in cui viene prevista l'assunzione dei mutui), </t>
    </r>
    <r>
      <rPr>
        <sz val="10"/>
        <rFont val="Arial"/>
        <family val="2"/>
      </rPr>
      <t>ex art. 204, c. 1 del D.L.gs. N. 267/2000</t>
    </r>
  </si>
  <si>
    <t>Debito autorizzato nell'esercizio in corso (2022)</t>
  </si>
  <si>
    <t>Ammontare interessi per mutui, prestiti obbligazionari, aperture di credito e garanzie di cui all'articolo 207 del TUEL autorizzati nell'esercizio in corso (2023)</t>
  </si>
  <si>
    <t>Spese per gemellaggio</t>
  </si>
  <si>
    <t>Digitalizzazione archivio pratiche edilizia privata</t>
  </si>
  <si>
    <t>Spese per manifestazioni culturali</t>
  </si>
  <si>
    <t>4.02.01.01.001</t>
  </si>
  <si>
    <t>4.02.01.01.002</t>
  </si>
  <si>
    <t>4.02.01.01.003</t>
  </si>
  <si>
    <t>3.05.02.01.001</t>
  </si>
  <si>
    <t>1.03.02.19.007</t>
  </si>
  <si>
    <t>1) Determinazione del risultato di amministrazione presunto al 31/12/2021</t>
  </si>
  <si>
    <t>Risultato di amministrazione dell'esercizio 2021 alla data di redazione del bilancio di previsione dell'anno 2022</t>
  </si>
  <si>
    <r>
      <t>Fondo crediti di dubbia esigibilità al 31/12/2021</t>
    </r>
    <r>
      <rPr>
        <vertAlign val="superscript"/>
        <sz val="11"/>
        <rFont val="Calibri"/>
        <family val="2"/>
      </rPr>
      <t xml:space="preserve"> (4)</t>
    </r>
  </si>
  <si>
    <t>1.04.03.99.999</t>
  </si>
  <si>
    <t>Acquisto attrezzature informatiche per attività turistiche del territorio comunale misura 323 azione 4</t>
  </si>
  <si>
    <t>COMPETENZA ANNO 2021 (AL 06.12.2021)</t>
  </si>
  <si>
    <t>BILANCIO DI PREVISIONE 2023 - 2025</t>
  </si>
  <si>
    <t>PREVISIONE 2025</t>
  </si>
  <si>
    <t>PREVISIONE DI CASSA 2023</t>
  </si>
  <si>
    <t>VERIFICA CASSA 2023</t>
  </si>
  <si>
    <t>Trasferimento ISTAT per svolgimento censimento</t>
  </si>
  <si>
    <t>Contributo da Provincia di Vicenza per progetto prestito interbibliotecario</t>
  </si>
  <si>
    <t>Contributo Regione Veneto per "Bonus connettività"</t>
  </si>
  <si>
    <t>Contributo regionale famiglie fragili DRG 1462-11682/2021</t>
  </si>
  <si>
    <t>478/1</t>
  </si>
  <si>
    <t>FONDO CASSA AL 1° GENNAIO 2023</t>
  </si>
  <si>
    <t>PREVISIONE 2022                    (solo FPV)</t>
  </si>
  <si>
    <t>Rimborso a privati permessi istituzionali amministratori</t>
  </si>
  <si>
    <t>Spese convenzione segretario comunale con il Comune di Torri di Quartesolo</t>
  </si>
  <si>
    <t>Altre spese per lo svolgimento dei censimenti</t>
  </si>
  <si>
    <t>1.10.99.99.000</t>
  </si>
  <si>
    <t>Spese per concorsi</t>
  </si>
  <si>
    <t>Compartecipazione convenzione Polizia locale tra i Comuni di Longare, Arcugnano, Montegaldella, Castegnero, Nanto, Zovencedo, Montegalda</t>
  </si>
  <si>
    <t>COMPETENZA ANNO 2025</t>
  </si>
  <si>
    <t>Contributo regionale famiglie fragili DGR 1462-1682/2021</t>
  </si>
  <si>
    <t>Entrate correnti destinate a spese di investimento</t>
  </si>
  <si>
    <t>a dedurre Entrate correnti destinate a spese di investimento</t>
  </si>
  <si>
    <t>201</t>
  </si>
  <si>
    <t>976/1</t>
  </si>
  <si>
    <t>977/8</t>
  </si>
  <si>
    <t>977/9</t>
  </si>
  <si>
    <t>977/10</t>
  </si>
  <si>
    <t>977/11</t>
  </si>
  <si>
    <t>977/12</t>
  </si>
  <si>
    <r>
      <t xml:space="preserve">Contributo statale per intervento di rigenerazione urbana - area impianti sportivi di Via Divisione Julia </t>
    </r>
    <r>
      <rPr>
        <i/>
        <sz val="10"/>
        <color indexed="10"/>
        <rFont val="Arial"/>
        <family val="2"/>
      </rPr>
      <t>(Spesa capitolo 2065/10)</t>
    </r>
  </si>
  <si>
    <r>
      <t xml:space="preserve">Contributo statale (P.N.R.R.) per realizzazione nuova palestra per la scuola secondaria di primo grado "G.Toaldo" </t>
    </r>
    <r>
      <rPr>
        <i/>
        <sz val="10"/>
        <color indexed="10"/>
        <rFont val="Arial"/>
        <family val="2"/>
      </rPr>
      <t>(Spesa capitolo 2048)</t>
    </r>
  </si>
  <si>
    <r>
      <t>Contributo statale (P.N.R.R.) per realizzazione nuove aree sportivre esterne per la scuola secondaria di primo grado "G.Toaldo"</t>
    </r>
    <r>
      <rPr>
        <i/>
        <sz val="10"/>
        <color indexed="10"/>
        <rFont val="Arial"/>
        <family val="2"/>
      </rPr>
      <t xml:space="preserve"> (Spesa capitolo 2049)</t>
    </r>
  </si>
  <si>
    <r>
      <t>Contributo regionale per pista ciclabile di Via Roi tratto Monastero San Marco-Via Fogazzaro</t>
    </r>
    <r>
      <rPr>
        <i/>
        <sz val="10"/>
        <color indexed="10"/>
        <rFont val="Arial"/>
        <family val="2"/>
      </rPr>
      <t xml:space="preserve"> (Spesa capitolo 2070/21)</t>
    </r>
  </si>
  <si>
    <r>
      <t>Contributo regionale per realizzazzione nuova scuola primaria A. Fogazzaro</t>
    </r>
    <r>
      <rPr>
        <i/>
        <sz val="10"/>
        <color indexed="10"/>
        <rFont val="Arial"/>
        <family val="2"/>
      </rPr>
      <t xml:space="preserve"> (Spesa capitolo 2046)</t>
    </r>
  </si>
  <si>
    <r>
      <t>Contributo statale per efficientamento energetico illuminazione pubblica (LED)</t>
    </r>
    <r>
      <rPr>
        <i/>
        <sz val="10"/>
        <color indexed="10"/>
        <rFont val="Arial"/>
        <family val="2"/>
      </rPr>
      <t xml:space="preserve"> (Spesa capitolo 2070/16)</t>
    </r>
  </si>
  <si>
    <r>
      <t>Contributo Provincia Vicenza per messa in sicurezza strade - percorso pedonale protetto in ambito urbano Via Roi</t>
    </r>
    <r>
      <rPr>
        <i/>
        <sz val="10"/>
        <color indexed="10"/>
        <rFont val="Arial"/>
        <family val="2"/>
      </rPr>
      <t xml:space="preserve"> (Spesa capitolo 2070/21)</t>
    </r>
  </si>
  <si>
    <r>
      <t>Contributo da Regione Veneto per pista ciclabile Via Borgo (già finanziata con fondi Comune)</t>
    </r>
    <r>
      <rPr>
        <i/>
        <sz val="10"/>
        <color indexed="10"/>
        <rFont val="Arial"/>
        <family val="2"/>
      </rPr>
      <t xml:space="preserve"> (CTR utilizzato per capitolo Spesa 2046 costruzione nuova scuola A.Fogazzaro)</t>
    </r>
  </si>
  <si>
    <r>
      <t>Contributo Provincia per piano interventi parcheggi vie Cattaneo, 2 Giugno e via Divisione Julia</t>
    </r>
    <r>
      <rPr>
        <i/>
        <sz val="10"/>
        <color indexed="10"/>
        <rFont val="Arial"/>
        <family val="2"/>
      </rPr>
      <t xml:space="preserve"> (Spesa capitolo 2070/18)</t>
    </r>
  </si>
  <si>
    <r>
      <t>TOTALE PROGRAMMA 3</t>
    </r>
    <r>
      <rPr>
        <b/>
        <sz val="10"/>
        <color indexed="12"/>
        <rFont val="Arial"/>
        <family val="2"/>
      </rPr>
      <t xml:space="preserve"> </t>
    </r>
    <r>
      <rPr>
        <b/>
        <sz val="10"/>
        <color indexed="12"/>
        <rFont val="Arial"/>
        <family val="2"/>
      </rPr>
      <t>(Gestione economica, finanziaria, programmazione, provveditorato)</t>
    </r>
  </si>
  <si>
    <r>
      <t xml:space="preserve">Contributo statale fondo per innovazione digitale </t>
    </r>
    <r>
      <rPr>
        <i/>
        <sz val="10"/>
        <color indexed="10"/>
        <rFont val="Arial"/>
        <family val="2"/>
      </rPr>
      <t>(Spesa capitolo 1506)</t>
    </r>
  </si>
  <si>
    <r>
      <t>Progetto per adeguamento digitale (inventario beni mobili ed immobili)</t>
    </r>
    <r>
      <rPr>
        <i/>
        <sz val="10"/>
        <color indexed="10"/>
        <rFont val="Arial"/>
        <family val="2"/>
      </rPr>
      <t xml:space="preserve"> (Entrata capitolo 977/12)</t>
    </r>
  </si>
  <si>
    <r>
      <t xml:space="preserve">Acquisto attrezzature hardware per servizi generali (finanziato da entrate correnti - 20% incentivi tecnici) </t>
    </r>
    <r>
      <rPr>
        <i/>
        <sz val="10"/>
        <color indexed="10"/>
        <rFont val="Arial"/>
        <family val="2"/>
      </rPr>
      <t>(Entrata capitolo 957)</t>
    </r>
  </si>
  <si>
    <r>
      <t>Acquisto attrezzature informatiche per emergenza Covid (finanziato con contributo dello Stato)</t>
    </r>
    <r>
      <rPr>
        <i/>
        <sz val="10"/>
        <color indexed="10"/>
        <rFont val="Arial"/>
        <family val="2"/>
      </rPr>
      <t xml:space="preserve"> (Entrata capitolo 994)</t>
    </r>
  </si>
  <si>
    <r>
      <t>Contributo statale per progettazione coibentazione esterna scuole medie</t>
    </r>
    <r>
      <rPr>
        <i/>
        <sz val="10"/>
        <color indexed="10"/>
        <rFont val="Arial"/>
        <family val="2"/>
      </rPr>
      <t xml:space="preserve"> (Spesa capitolo 2044)</t>
    </r>
  </si>
  <si>
    <r>
      <t xml:space="preserve">Realizzazione nuova palestra per la scuola primaria "A.Fogazzaro" finanziato da P.N.R.R. </t>
    </r>
    <r>
      <rPr>
        <i/>
        <sz val="10"/>
        <color indexed="10"/>
        <rFont val="Arial"/>
        <family val="2"/>
      </rPr>
      <t>(Entrata capitolo 977/10)</t>
    </r>
  </si>
  <si>
    <r>
      <t>Realizzazione nuove aree sportivre esterne per la scuola secondaria di primo grado "G.Toaldo"</t>
    </r>
    <r>
      <rPr>
        <i/>
        <sz val="10"/>
        <color indexed="10"/>
        <rFont val="Arial"/>
        <family val="2"/>
      </rPr>
      <t xml:space="preserve"> (Entrata capitolo 977/11)</t>
    </r>
  </si>
  <si>
    <r>
      <t xml:space="preserve">Riqualificazione funzionale campo in erba sintetica Via Valsolda </t>
    </r>
    <r>
      <rPr>
        <i/>
        <sz val="10"/>
        <color indexed="10"/>
        <rFont val="Arial"/>
        <family val="2"/>
      </rPr>
      <t>(Entrata capitoli  982+1050)</t>
    </r>
  </si>
  <si>
    <t>2065/10</t>
  </si>
  <si>
    <r>
      <t>Interventi di rigenerazione urbana - area impianti sportivi di Via Divisione Julia - 1° stralcio</t>
    </r>
    <r>
      <rPr>
        <i/>
        <sz val="10"/>
        <color indexed="10"/>
        <rFont val="Arial"/>
        <family val="2"/>
      </rPr>
      <t xml:space="preserve"> (Entrata cap. 977/8)</t>
    </r>
  </si>
  <si>
    <t>Acquisto mobili ed attrezzature impianti sportivi</t>
  </si>
  <si>
    <r>
      <t xml:space="preserve">Contributo statale per rifacimento campo da calcio in erba sintetica Via Valsolda </t>
    </r>
    <r>
      <rPr>
        <i/>
        <sz val="10"/>
        <color indexed="10"/>
        <rFont val="Arial"/>
        <family val="2"/>
      </rPr>
      <t>(Spesa capitolo 2083)</t>
    </r>
  </si>
  <si>
    <r>
      <t xml:space="preserve">Rifacimento campo da calcio in erba sintetica Via Valsolda                   </t>
    </r>
    <r>
      <rPr>
        <i/>
        <sz val="10"/>
        <color indexed="10"/>
        <rFont val="Arial"/>
        <family val="2"/>
      </rPr>
      <t>(Entrata capp. 974+1050)</t>
    </r>
  </si>
  <si>
    <t>2070/26</t>
  </si>
  <si>
    <t>Messa in sicurezza viabilità comunale - Via Montecroce - Progettazione ed indagini</t>
  </si>
  <si>
    <t>Rifacimento ponticello su scolo Settimo in via Settimo</t>
  </si>
  <si>
    <t>Contributo Regione Veneto restauro registri austriaci popolazione residente - DGR 820/2022</t>
  </si>
  <si>
    <t>Spese per restauro registri austraici popolazione residente - Cofinanziato da cap. entrata 337</t>
  </si>
  <si>
    <t>Trasferimento Stato per incremento indennità amministratori comunali  - Art. 1, c. 586, L. 234/2021</t>
  </si>
  <si>
    <t>Proventi per contravvenzioni C.D.S. - Convenzione Polizia Locale tra i Comuni di Longare, Arcugnano. Castegnero, Montegaldella e Montegalda</t>
  </si>
  <si>
    <t>Trasferimento Stato - per esercizio funzioni fondamentali su emergenza sanitaria coronavirus</t>
  </si>
  <si>
    <r>
      <t>Fondo di solidarietà comunale (F.S.C.)</t>
    </r>
    <r>
      <rPr>
        <sz val="10"/>
        <color indexed="10"/>
        <rFont val="Arial"/>
        <family val="2"/>
      </rPr>
      <t xml:space="preserve"> </t>
    </r>
    <r>
      <rPr>
        <i/>
        <sz val="10"/>
        <color indexed="10"/>
        <rFont val="Arial"/>
        <family val="2"/>
      </rPr>
      <t>Trasferimenti ordinari</t>
    </r>
  </si>
  <si>
    <r>
      <t xml:space="preserve">Contributo statale per costruzione nuova scuola primaria A.Fogazzaro                </t>
    </r>
    <r>
      <rPr>
        <i/>
        <sz val="10"/>
        <color indexed="10"/>
        <rFont val="Arial"/>
        <family val="2"/>
      </rPr>
      <t xml:space="preserve"> (Spesa capitolo 2046)</t>
    </r>
  </si>
  <si>
    <r>
      <t xml:space="preserve">Contributo statale per manutenzioni straordinarie strade                                </t>
    </r>
    <r>
      <rPr>
        <i/>
        <sz val="10"/>
        <color indexed="10"/>
        <rFont val="Arial"/>
        <family val="2"/>
      </rPr>
      <t>(Spesa capitolo 2070/26)</t>
    </r>
  </si>
  <si>
    <r>
      <t xml:space="preserve">Contributo statale (P.N.R.R.) per realizzazione nuova mensa per la scuola secondaria di primo grado "G.Toaldo" </t>
    </r>
    <r>
      <rPr>
        <i/>
        <sz val="10"/>
        <color indexed="10"/>
        <rFont val="Arial"/>
        <family val="2"/>
      </rPr>
      <t xml:space="preserve"> (Spesa capitolo 2058)</t>
    </r>
  </si>
  <si>
    <t>2079/1</t>
  </si>
  <si>
    <r>
      <t xml:space="preserve">Messa in sicurezza viabilità comunale - Via Montecroce - Lavori </t>
    </r>
    <r>
      <rPr>
        <i/>
        <sz val="10"/>
        <color indexed="10"/>
        <rFont val="Arial"/>
        <family val="2"/>
      </rPr>
      <t>(Entrata capitolo 977/16)</t>
    </r>
  </si>
  <si>
    <t>PEVISIONE DI CASSA 2023</t>
  </si>
  <si>
    <t>202</t>
  </si>
  <si>
    <t>977/16</t>
  </si>
  <si>
    <r>
      <t>Contributo Regione Veneto per messa in sicurezza viabilità/infrasrtutture stradali - Adeguamento della viabilità tratto Via Zocco/Ponzimiglio e tratto rotatoria Via Valsolda</t>
    </r>
    <r>
      <rPr>
        <i/>
        <sz val="10"/>
        <color indexed="10"/>
        <rFont val="Arial"/>
        <family val="2"/>
      </rPr>
      <t xml:space="preserve"> (Spesa capitolo 2070/20)</t>
    </r>
  </si>
  <si>
    <r>
      <t xml:space="preserve">Contributo statale per messa in sicurezza viabilità/infrasrtutture stradali - Adeguamento della viabilità tratto Via Zocco/Ponzimiglio e tratto rotatoria Via Valsolda </t>
    </r>
    <r>
      <rPr>
        <i/>
        <sz val="10"/>
        <color indexed="10"/>
        <rFont val="Arial"/>
        <family val="2"/>
      </rPr>
      <t>(Spesa capitolo 2070/20)</t>
    </r>
  </si>
  <si>
    <r>
      <t>Riqualificazione impianti sportivi di Via Divisione Julia 1° e 2° stralcio : realizzazione pista polivalente</t>
    </r>
    <r>
      <rPr>
        <i/>
        <sz val="10"/>
        <color indexed="10"/>
        <rFont val="Arial"/>
        <family val="2"/>
      </rPr>
      <t xml:space="preserve"> (Entrata capitoli 1135+1050)</t>
    </r>
  </si>
  <si>
    <r>
      <t>Mutuo Credito Sportivo per riqualificazione impianti sportivi Via Divisione Julia - 1° e 2° stralcio</t>
    </r>
    <r>
      <rPr>
        <i/>
        <sz val="10"/>
        <color indexed="10"/>
        <rFont val="Arial"/>
        <family val="2"/>
      </rPr>
      <t xml:space="preserve"> (Spesa capitolo 2065/7)</t>
    </r>
  </si>
  <si>
    <r>
      <t xml:space="preserve">Realizzazione Piano degli interventi e piano delle acque                                                                         </t>
    </r>
    <r>
      <rPr>
        <i/>
        <sz val="10"/>
        <color indexed="10"/>
        <rFont val="Arial"/>
        <family val="2"/>
      </rPr>
      <t xml:space="preserve"> (Entrata capitolo 1050)</t>
    </r>
  </si>
  <si>
    <r>
      <t xml:space="preserve">Sistemazione sentieri e segnalazione itinerari turistici                           </t>
    </r>
    <r>
      <rPr>
        <i/>
        <sz val="10"/>
        <color indexed="10"/>
        <rFont val="Arial"/>
        <family val="2"/>
      </rPr>
      <t>(Entrata capitolo 1050)</t>
    </r>
  </si>
  <si>
    <r>
      <t xml:space="preserve">Efficientamento illuminazione pubblica - LED                                     </t>
    </r>
    <r>
      <rPr>
        <i/>
        <sz val="10"/>
        <color indexed="10"/>
        <rFont val="Arial"/>
        <family val="2"/>
      </rPr>
      <t xml:space="preserve">  (Entrata capitoli 991/2+1050)</t>
    </r>
  </si>
  <si>
    <r>
      <t xml:space="preserve">Arredo rotatoria di Via Zocco/Valsolda e rotatoria di Via Roma                                                           </t>
    </r>
    <r>
      <rPr>
        <i/>
        <sz val="10"/>
        <color indexed="10"/>
        <rFont val="Arial"/>
        <family val="2"/>
      </rPr>
      <t xml:space="preserve"> (Entrata capitolo 1050)</t>
    </r>
  </si>
  <si>
    <r>
      <t xml:space="preserve">Adeguamento viabiltà via Zocco - Pista ciclabile e SP (tratto Coppo) </t>
    </r>
    <r>
      <rPr>
        <i/>
        <sz val="10"/>
        <color indexed="10"/>
        <rFont val="Arial"/>
        <family val="2"/>
      </rPr>
      <t>(Entrata capitoli 996/3 + 977/2 + 1050)</t>
    </r>
  </si>
  <si>
    <r>
      <t xml:space="preserve">Manutenzione straordinaria strade e arredo urbano                                </t>
    </r>
    <r>
      <rPr>
        <i/>
        <sz val="10"/>
        <color indexed="10"/>
        <rFont val="Arial"/>
        <family val="2"/>
      </rPr>
      <t xml:space="preserve"> (Entrata capitoli 976/1+1050)</t>
    </r>
  </si>
  <si>
    <r>
      <t xml:space="preserve"> Realizzazione nuova mensa per la scuola secondaria di primo grado "G.Toaldo" </t>
    </r>
    <r>
      <rPr>
        <i/>
        <sz val="10"/>
        <color indexed="10"/>
        <rFont val="Arial"/>
        <family val="2"/>
      </rPr>
      <t>(Entrata capitolo 977/9)</t>
    </r>
  </si>
  <si>
    <r>
      <t xml:space="preserve">Contributi da privati per realizzazione punti ricarica auto e bici elettriche             </t>
    </r>
    <r>
      <rPr>
        <i/>
        <sz val="10"/>
        <color indexed="10"/>
        <rFont val="Arial"/>
        <family val="2"/>
      </rPr>
      <t xml:space="preserve">       (Spesa capitolo 2185)</t>
    </r>
  </si>
  <si>
    <r>
      <t xml:space="preserve">Realizzazione punti ricarica bici e auto elettriche                                   </t>
    </r>
    <r>
      <rPr>
        <i/>
        <sz val="10"/>
        <color indexed="10"/>
        <rFont val="Arial"/>
        <family val="2"/>
      </rPr>
      <t xml:space="preserve"> (Entrata capitolo 1036)</t>
    </r>
  </si>
  <si>
    <r>
      <t xml:space="preserve">Efficientamento energetico scuola secondaria G. Toaldo                      </t>
    </r>
    <r>
      <rPr>
        <i/>
        <sz val="10"/>
        <color indexed="10"/>
        <rFont val="Arial"/>
        <family val="2"/>
      </rPr>
      <t>(Entrata capitolo 978)</t>
    </r>
  </si>
  <si>
    <r>
      <t xml:space="preserve">Contributo Regione Veneto per riqualificazione impianti sportivi di Via Divisione Julia </t>
    </r>
    <r>
      <rPr>
        <i/>
        <sz val="10"/>
        <color indexed="10"/>
        <rFont val="Arial"/>
        <family val="2"/>
      </rPr>
      <t>(Spesa cap. 2065/7)</t>
    </r>
  </si>
  <si>
    <r>
      <t xml:space="preserve">Ampliamento sistema di videosorveglianza (Via Marangoni-Via Montecroce-Cimitero Montegalda-Cimitero Colzè)                                    </t>
    </r>
    <r>
      <rPr>
        <i/>
        <sz val="10"/>
        <color indexed="10"/>
        <rFont val="Arial"/>
        <family val="2"/>
      </rPr>
      <t>(Entrata capitolo 1050)</t>
    </r>
  </si>
  <si>
    <t>978/1</t>
  </si>
  <si>
    <r>
      <t xml:space="preserve">Contributo statale per efficientamento energetico scuola secondaria G.Toaldo                   </t>
    </r>
    <r>
      <rPr>
        <i/>
        <sz val="10"/>
        <color indexed="10"/>
        <rFont val="Arial"/>
        <family val="2"/>
      </rPr>
      <t xml:space="preserve">            (Spesa capitolo 2040)</t>
    </r>
  </si>
  <si>
    <r>
      <t xml:space="preserve">Contributo statale per per in sicurezza strade percorso pedonale protetto in ambito urbano Via Castello-SP.20 </t>
    </r>
    <r>
      <rPr>
        <i/>
        <sz val="10"/>
        <color indexed="10"/>
        <rFont val="Arial"/>
        <family val="2"/>
      </rPr>
      <t xml:space="preserve"> (Spesa capitolo 2070/7)</t>
    </r>
  </si>
  <si>
    <t>2070/7</t>
  </si>
  <si>
    <t>991/7</t>
  </si>
  <si>
    <t>4.02.01.02.001</t>
  </si>
  <si>
    <r>
      <t xml:space="preserve">Contributo Regione Veneto per manutenzione straordinaria conca di navigazione </t>
    </r>
    <r>
      <rPr>
        <i/>
        <sz val="10"/>
        <color indexed="10"/>
        <rFont val="Arial"/>
        <family val="2"/>
      </rPr>
      <t>(Spesa capitolo 2030)</t>
    </r>
  </si>
  <si>
    <r>
      <t xml:space="preserve">Manutenzione straordinaria conca di navigazione                                    </t>
    </r>
    <r>
      <rPr>
        <i/>
        <sz val="10"/>
        <color indexed="10"/>
        <rFont val="Arial"/>
        <family val="2"/>
      </rPr>
      <t xml:space="preserve"> (Entrata capitolo 991/7)</t>
    </r>
  </si>
  <si>
    <r>
      <t>Messa in sicurezza della viabilità del territorio comunale. Strade e marciapiedi</t>
    </r>
    <r>
      <rPr>
        <i/>
        <sz val="10"/>
        <color indexed="10"/>
        <rFont val="Arial"/>
        <family val="2"/>
      </rPr>
      <t xml:space="preserve">       (Entrata capitolo 1050)</t>
    </r>
  </si>
  <si>
    <t>153/1</t>
  </si>
  <si>
    <t>1.03.02.19.999</t>
  </si>
  <si>
    <r>
      <t>Contributo Stato per P.N.R.R. Trasfomazione digitale dei Comuni - Abilitazione al Cloud</t>
    </r>
    <r>
      <rPr>
        <i/>
        <sz val="10"/>
        <color indexed="10"/>
        <rFont val="Arial"/>
        <family val="2"/>
      </rPr>
      <t xml:space="preserve"> (Spesa capitolo 153/1)</t>
    </r>
  </si>
  <si>
    <r>
      <t xml:space="preserve">P.N.R.R. Trasformazione digitale - Abilitazione al Cloud                  </t>
    </r>
    <r>
      <rPr>
        <i/>
        <sz val="10"/>
        <color indexed="10"/>
        <rFont val="Arial"/>
        <family val="2"/>
      </rPr>
      <t xml:space="preserve">    (Entrata capitolo 140)</t>
    </r>
  </si>
  <si>
    <r>
      <t xml:space="preserve">Costruzione nuova scuola primaria A. Fogazzaro                                </t>
    </r>
    <r>
      <rPr>
        <i/>
        <sz val="10"/>
        <color indexed="10"/>
        <rFont val="Arial"/>
        <family val="2"/>
      </rPr>
      <t>(Entrata capitolo 977/7)</t>
    </r>
  </si>
  <si>
    <t>Oneri contributivi su retribuzione segretario comunale (diritti di rogito)</t>
  </si>
  <si>
    <r>
      <t>Contributo Regione Veneto per spese sostenute da famiglie minori non accompagnati</t>
    </r>
    <r>
      <rPr>
        <i/>
        <sz val="10"/>
        <color indexed="10"/>
        <rFont val="Arial"/>
        <family val="2"/>
      </rPr>
      <t xml:space="preserve"> (Spesa capitolo 888)</t>
    </r>
  </si>
  <si>
    <t>1.04.01.02.002</t>
  </si>
  <si>
    <t>Riversamento quote sanzioni CdS alla Provincia</t>
  </si>
  <si>
    <t>1.01.01.01.002</t>
  </si>
  <si>
    <t>Arretrati stipendi 2019-2021 (avanzo vincolato)</t>
  </si>
  <si>
    <t>1.01.02.05.999</t>
  </si>
  <si>
    <t>Arretrati stipendi 2019-2021</t>
  </si>
  <si>
    <t>1.01.02.02.999</t>
  </si>
  <si>
    <r>
      <t xml:space="preserve">Trasferimento da Comune di Grisignano di Zocco per assistenza domiciliare anziani                                                                                                 </t>
    </r>
    <r>
      <rPr>
        <sz val="10"/>
        <color indexed="10"/>
        <rFont val="Arial"/>
        <family val="2"/>
      </rPr>
      <t xml:space="preserve">   </t>
    </r>
    <r>
      <rPr>
        <i/>
        <sz val="10"/>
        <color indexed="10"/>
        <rFont val="Arial"/>
        <family val="2"/>
      </rPr>
      <t>(Spesa capitolo 860/1)</t>
    </r>
  </si>
  <si>
    <r>
      <t xml:space="preserve">Contributo regionale per sostegno abitazioni in locazione            </t>
    </r>
    <r>
      <rPr>
        <i/>
        <sz val="10"/>
        <rFont val="Arial"/>
        <family val="2"/>
      </rPr>
      <t xml:space="preserve">        </t>
    </r>
    <r>
      <rPr>
        <i/>
        <sz val="10"/>
        <color indexed="10"/>
        <rFont val="Arial"/>
        <family val="2"/>
      </rPr>
      <t xml:space="preserve"> (Entrata capitolo 344)</t>
    </r>
  </si>
  <si>
    <r>
      <t>Contributi a privati per interventi su minori non accompagnati</t>
    </r>
    <r>
      <rPr>
        <i/>
        <sz val="10"/>
        <color indexed="10"/>
        <rFont val="Arial"/>
        <family val="2"/>
      </rPr>
      <t xml:space="preserve"> (Entrata cap. 333)</t>
    </r>
  </si>
  <si>
    <t>975/1</t>
  </si>
  <si>
    <t>975/2</t>
  </si>
  <si>
    <t>975/3</t>
  </si>
  <si>
    <t>Introiti per trasformazione diritto di superificie in diritto di proprietà</t>
  </si>
  <si>
    <r>
      <t>TOYALE PROGRAMMA 8</t>
    </r>
    <r>
      <rPr>
        <b/>
        <sz val="10"/>
        <color indexed="12"/>
        <rFont val="Arial"/>
        <family val="2"/>
      </rPr>
      <t xml:space="preserve"> (Statistica e sistemi informativi)</t>
    </r>
  </si>
  <si>
    <r>
      <t xml:space="preserve">PNRR Trasformazione digitale - Esperienza del cittadino nei servizi pubblici </t>
    </r>
    <r>
      <rPr>
        <i/>
        <sz val="10"/>
        <color indexed="10"/>
        <rFont val="Arial"/>
        <family val="2"/>
      </rPr>
      <t>(Entrata capitolo 975/1)</t>
    </r>
  </si>
  <si>
    <t>1502/1</t>
  </si>
  <si>
    <t>Acquisto attrezzature hardware per servizi generali</t>
  </si>
  <si>
    <r>
      <t xml:space="preserve">PNRR Trasformazione digitale - Attivazione SPID/CIE                            </t>
    </r>
    <r>
      <rPr>
        <i/>
        <sz val="10"/>
        <color indexed="10"/>
        <rFont val="Arial"/>
        <family val="2"/>
      </rPr>
      <t>(Entrata capitolo 975/2)</t>
    </r>
  </si>
  <si>
    <r>
      <t xml:space="preserve">PNRR Trasformazione digitale - Attivazione App IO                                       </t>
    </r>
    <r>
      <rPr>
        <i/>
        <sz val="10"/>
        <color indexed="10"/>
        <rFont val="Arial"/>
        <family val="2"/>
      </rPr>
      <t>(Entrata capitolo 975/3)</t>
    </r>
  </si>
  <si>
    <t>PREVISIONE INIZIALE 2022</t>
  </si>
  <si>
    <r>
      <t xml:space="preserve">Fondo per spese trasporto studenti con disabilità finanziato da incremento FSC 2022 (art. 1, comma 449 Legge 232/2016)                             </t>
    </r>
    <r>
      <rPr>
        <i/>
        <sz val="10"/>
        <color indexed="10"/>
        <rFont val="Arial"/>
        <family val="2"/>
      </rPr>
      <t xml:space="preserve"> (Entrata capitolo 81)</t>
    </r>
  </si>
  <si>
    <r>
      <t xml:space="preserve">Fondo per spese asili nido finanziato da incremento FSC 2022 (Legge 232/2016)                                                                                    </t>
    </r>
    <r>
      <rPr>
        <i/>
        <sz val="10"/>
        <color indexed="10"/>
        <rFont val="Arial"/>
        <family val="2"/>
      </rPr>
      <t>(Entrata capitolo 81)</t>
    </r>
  </si>
  <si>
    <r>
      <t>Fondo di solidarietà comunale (F.S.C.) -</t>
    </r>
    <r>
      <rPr>
        <i/>
        <sz val="10"/>
        <color indexed="10"/>
        <rFont val="Arial"/>
        <family val="2"/>
      </rPr>
      <t xml:space="preserve"> Trasferimenti : per sviluppo servizi sociali (euro 10.951,00 Spesa capitolo 867; per incremento posti disponibili asili nido (euro 7.674,00 Spesa capitolo 476; per incremento trasporto studenti in disabilità (euro 3.474,00 Spesa capitolo 477)</t>
    </r>
  </si>
  <si>
    <r>
      <t>Contributi a privati interventi assistenziali in relazione ad emergenza sanitaria coronavirus</t>
    </r>
    <r>
      <rPr>
        <sz val="10"/>
        <color indexed="10"/>
        <rFont val="Arial"/>
        <family val="2"/>
      </rPr>
      <t xml:space="preserve"> (Entrata capitolo 129)</t>
    </r>
  </si>
  <si>
    <r>
      <t>Contributi a privati per centri estivi 2020 emergenza sanitaria coronavirus</t>
    </r>
    <r>
      <rPr>
        <i/>
        <sz val="10"/>
        <rFont val="Arial"/>
        <family val="2"/>
      </rPr>
      <t xml:space="preserve"> </t>
    </r>
    <r>
      <rPr>
        <sz val="10"/>
        <color indexed="10"/>
        <rFont val="Arial"/>
        <family val="2"/>
      </rPr>
      <t>(Entrata capitolo 134)</t>
    </r>
  </si>
  <si>
    <r>
      <t>Trasferimento Stato per centri estivi su emergenza sanitaria coronavirus</t>
    </r>
    <r>
      <rPr>
        <sz val="10"/>
        <color indexed="10"/>
        <rFont val="Arial"/>
        <family val="2"/>
      </rPr>
      <t xml:space="preserve"> </t>
    </r>
    <r>
      <rPr>
        <i/>
        <sz val="10"/>
        <color indexed="10"/>
        <rFont val="Arial"/>
        <family val="2"/>
      </rPr>
      <t>(Spesa capitolo 883)</t>
    </r>
  </si>
  <si>
    <r>
      <t xml:space="preserve">Trasferimento Stato - Fondo solidarietà e sostegno famiglie (art.53, comma 1, D.L. 73/2021 </t>
    </r>
    <r>
      <rPr>
        <i/>
        <sz val="10"/>
        <color indexed="10"/>
        <rFont val="Arial"/>
        <family val="2"/>
      </rPr>
      <t>(Spesa capitolo 882)</t>
    </r>
  </si>
  <si>
    <r>
      <t>Trasferimento Stato - D.L. 154 del 24/11/2020 per maggiori spese sociali (buoni spesa)</t>
    </r>
    <r>
      <rPr>
        <i/>
        <sz val="10"/>
        <color indexed="10"/>
        <rFont val="Arial"/>
        <family val="2"/>
      </rPr>
      <t xml:space="preserve"> (cap. 882 Spesa)</t>
    </r>
  </si>
  <si>
    <r>
      <t xml:space="preserve">Spese sociali finanziate da incremento FSC 2022 sviluppo servizi sociali Comuni (Legge 232/2016) </t>
    </r>
    <r>
      <rPr>
        <i/>
        <sz val="10"/>
        <color indexed="10"/>
        <rFont val="Arial"/>
        <family val="2"/>
      </rPr>
      <t>(Entrata capitolo 81)</t>
    </r>
  </si>
  <si>
    <r>
      <t>Trasferimento fondi regionali per assegno prenatale DGRV 1204/2020</t>
    </r>
    <r>
      <rPr>
        <i/>
        <sz val="10"/>
        <rFont val="Arial"/>
        <family val="2"/>
      </rPr>
      <t xml:space="preserve"> </t>
    </r>
    <r>
      <rPr>
        <i/>
        <sz val="10"/>
        <color indexed="10"/>
        <rFont val="Arial"/>
        <family val="2"/>
      </rPr>
      <t>(Entrata capitolo 356)</t>
    </r>
  </si>
  <si>
    <r>
      <t>Contributo statale PNRR per trasformazione digitale - Esperienza del cittadino nei servizi pubblici</t>
    </r>
    <r>
      <rPr>
        <i/>
        <sz val="10"/>
        <color indexed="10"/>
        <rFont val="Arial"/>
        <family val="2"/>
      </rPr>
      <t xml:space="preserve"> (PNRR - Spesa capitolo 1532)</t>
    </r>
  </si>
  <si>
    <r>
      <t>Contributo statale PNRR trasformazione digitale - Attivazione SPID-CIE</t>
    </r>
    <r>
      <rPr>
        <i/>
        <sz val="10"/>
        <color indexed="10"/>
        <rFont val="Arial"/>
        <family val="2"/>
      </rPr>
      <t xml:space="preserve"> (PNRR - Spesa capitolo 1533)</t>
    </r>
  </si>
  <si>
    <r>
      <t xml:space="preserve">Contributo statale PNRR trasformazione digitale - Attivazione app IO                     </t>
    </r>
    <r>
      <rPr>
        <i/>
        <sz val="10"/>
        <color indexed="10"/>
        <rFont val="Arial"/>
        <family val="2"/>
      </rPr>
      <t>(PNRR - Spesa capitolo 1534)</t>
    </r>
  </si>
  <si>
    <r>
      <t xml:space="preserve">Manutenzioni straordinarie patrimonio comunale                                   </t>
    </r>
    <r>
      <rPr>
        <i/>
        <sz val="10"/>
        <rFont val="Arial"/>
        <family val="2"/>
      </rPr>
      <t xml:space="preserve">   </t>
    </r>
    <r>
      <rPr>
        <i/>
        <sz val="10"/>
        <color indexed="10"/>
        <rFont val="Arial"/>
        <family val="2"/>
      </rPr>
      <t>(Entrata capitolo 1050)</t>
    </r>
  </si>
  <si>
    <r>
      <t xml:space="preserve">Manutenzione straordinaria patrimonio comunale                            </t>
    </r>
    <r>
      <rPr>
        <i/>
        <sz val="10"/>
        <rFont val="Arial"/>
        <family val="2"/>
      </rPr>
      <t xml:space="preserve">    </t>
    </r>
    <r>
      <rPr>
        <i/>
        <sz val="10"/>
        <color indexed="10"/>
        <rFont val="Arial"/>
        <family val="2"/>
      </rPr>
      <t>(Entrata capitolo 1048)</t>
    </r>
  </si>
  <si>
    <r>
      <t>Contributo statale (P.N.R.R.) per messa in sicurezza viabilità comunale - Via Montecroce - Lavori     (</t>
    </r>
    <r>
      <rPr>
        <i/>
        <sz val="10"/>
        <color indexed="10"/>
        <rFont val="Arial"/>
        <family val="2"/>
      </rPr>
      <t>Spesa capitolo 2079/1)</t>
    </r>
  </si>
  <si>
    <r>
      <t>Contributo Regione Veneto per interventi promozione invecchiamento attivo DGR 161</t>
    </r>
    <r>
      <rPr>
        <i/>
        <sz val="10"/>
        <color indexed="10"/>
        <rFont val="Arial"/>
        <family val="2"/>
      </rPr>
      <t xml:space="preserve"> (Spesa capitolo 864)</t>
    </r>
  </si>
  <si>
    <r>
      <t xml:space="preserve">Contributo Regione Veneto per crediti edilizi da rinaturalizzazione                   </t>
    </r>
    <r>
      <rPr>
        <i/>
        <sz val="10"/>
        <color indexed="10"/>
        <rFont val="Arial"/>
        <family val="2"/>
      </rPr>
      <t>(Spesa capitolo 768)</t>
    </r>
  </si>
  <si>
    <r>
      <t>Contributo da Comune di Grisignano di Zocco per interventi promozione invecchiamento attivo DGR 161</t>
    </r>
    <r>
      <rPr>
        <i/>
        <sz val="10"/>
        <color indexed="10"/>
        <rFont val="Arial"/>
        <family val="2"/>
      </rPr>
      <t xml:space="preserve"> (Spesa capitolo 864)</t>
    </r>
  </si>
  <si>
    <r>
      <t xml:space="preserve">Contributo da Comune di Montegaldella per interventi promozione invecchiamento attivo DGR 161 </t>
    </r>
    <r>
      <rPr>
        <i/>
        <sz val="10"/>
        <color indexed="10"/>
        <rFont val="Arial"/>
        <family val="2"/>
      </rPr>
      <t>(Spesa capitolo 864)</t>
    </r>
  </si>
  <si>
    <r>
      <t xml:space="preserve">Incarichi professionali per crediti edilizi da rinaturalizzare             </t>
    </r>
    <r>
      <rPr>
        <i/>
        <sz val="10"/>
        <color indexed="10"/>
        <rFont val="Arial"/>
        <family val="2"/>
      </rPr>
      <t xml:space="preserve">          (Entrata capitolo 360)</t>
    </r>
  </si>
  <si>
    <r>
      <t>Spese per assistenza domiciliare relativa a convenzione con il Comune di Grisignano di Zocco</t>
    </r>
    <r>
      <rPr>
        <i/>
        <sz val="10"/>
        <color indexed="10"/>
        <rFont val="Arial"/>
        <family val="2"/>
      </rPr>
      <t xml:space="preserve"> (Entrata capitolo 352)</t>
    </r>
  </si>
  <si>
    <t>Fondo rinnovi CCNL personale dipendente</t>
  </si>
  <si>
    <r>
      <t>Trasferimento fondi regionali per assistenza domiciliare anziani (L.R. 28/1991)</t>
    </r>
    <r>
      <rPr>
        <sz val="10"/>
        <color indexed="10"/>
        <rFont val="Arial"/>
        <family val="2"/>
      </rPr>
      <t xml:space="preserve"> </t>
    </r>
    <r>
      <rPr>
        <i/>
        <sz val="10"/>
        <color indexed="10"/>
        <rFont val="Arial"/>
        <family val="2"/>
      </rPr>
      <t>(Spesa capitolo 892)</t>
    </r>
  </si>
  <si>
    <r>
      <t xml:space="preserve">Contributo regionale per accesso alle abitazioni in locazione famiglie disagiate     </t>
    </r>
    <r>
      <rPr>
        <i/>
        <sz val="10"/>
        <color indexed="10"/>
        <rFont val="Arial"/>
        <family val="2"/>
      </rPr>
      <t xml:space="preserve"> (Spesa capitolo 896)</t>
    </r>
  </si>
  <si>
    <r>
      <t xml:space="preserve">Trasferimento della Regione per borse di studio alunni e studenti       </t>
    </r>
    <r>
      <rPr>
        <i/>
        <sz val="10"/>
        <rFont val="Arial"/>
        <family val="2"/>
      </rPr>
      <t xml:space="preserve">     </t>
    </r>
    <r>
      <rPr>
        <i/>
        <sz val="10"/>
        <color indexed="10"/>
        <rFont val="Arial"/>
        <family val="2"/>
      </rPr>
      <t xml:space="preserve">  (Spesa capitolo 530)</t>
    </r>
  </si>
  <si>
    <r>
      <t xml:space="preserve">Trasferimento della Regione per libri di testo alunni e studenti                           </t>
    </r>
    <r>
      <rPr>
        <i/>
        <sz val="10"/>
        <color indexed="10"/>
        <rFont val="Arial"/>
        <family val="2"/>
      </rPr>
      <t xml:space="preserve">  (Spesa capitolo 528)</t>
    </r>
  </si>
  <si>
    <r>
      <t xml:space="preserve">Trasferimenti per elezioni di competenza di altri Enti                              </t>
    </r>
    <r>
      <rPr>
        <i/>
        <sz val="10"/>
        <rFont val="Arial"/>
        <family val="2"/>
      </rPr>
      <t xml:space="preserve">   </t>
    </r>
    <r>
      <rPr>
        <i/>
        <sz val="10"/>
        <color indexed="10"/>
        <rFont val="Arial"/>
        <family val="2"/>
      </rPr>
      <t xml:space="preserve">  (Spesa capitolo 380)</t>
    </r>
  </si>
  <si>
    <t>DIFFERENZA TRA ASSESTATO E IMPEGNATO</t>
  </si>
  <si>
    <r>
      <t xml:space="preserve">Contributo regionale per fornitura gratuita libri di testo           </t>
    </r>
    <r>
      <rPr>
        <i/>
        <sz val="10"/>
        <rFont val="Arial"/>
        <family val="2"/>
      </rPr>
      <t xml:space="preserve">   </t>
    </r>
    <r>
      <rPr>
        <i/>
        <sz val="10"/>
        <color indexed="10"/>
        <rFont val="Arial"/>
        <family val="2"/>
      </rPr>
      <t xml:space="preserve">     (Entrata capitolo 342)</t>
    </r>
  </si>
  <si>
    <r>
      <t xml:space="preserve">Contributo regionale per borse di studio alunni e studenti         </t>
    </r>
    <r>
      <rPr>
        <i/>
        <sz val="10"/>
        <rFont val="Arial"/>
        <family val="2"/>
      </rPr>
      <t xml:space="preserve">          </t>
    </r>
    <r>
      <rPr>
        <i/>
        <sz val="10"/>
        <color indexed="10"/>
        <rFont val="Arial"/>
        <family val="2"/>
      </rPr>
      <t xml:space="preserve">   (Entrata capitolo 341)</t>
    </r>
  </si>
  <si>
    <r>
      <t xml:space="preserve">Trasferimento fondi regionali per assegno prenatale DGRV 1204/2020                           </t>
    </r>
    <r>
      <rPr>
        <i/>
        <sz val="10"/>
        <rFont val="Arial"/>
        <family val="2"/>
      </rPr>
      <t xml:space="preserve"> </t>
    </r>
    <r>
      <rPr>
        <i/>
        <sz val="10"/>
        <color indexed="10"/>
        <rFont val="Arial"/>
        <family val="2"/>
      </rPr>
      <t xml:space="preserve">   (Spesa capitolo 886)</t>
    </r>
  </si>
  <si>
    <t>DIFFERENZA TRA ACCERTATO E ASSESTATO</t>
  </si>
  <si>
    <t>DIFFERENZE TRA PREVISIONI 2023 E PREVISIONI INIZIALI 2022</t>
  </si>
  <si>
    <t>FONDO 0-6 ANNI</t>
  </si>
  <si>
    <t xml:space="preserve">Contributi a privati per organizzazione dopo scuola </t>
  </si>
  <si>
    <t>996/4</t>
  </si>
  <si>
    <t>4.02.03.03.999</t>
  </si>
  <si>
    <r>
      <t>Collegamento ciclabile Via Fogazzaro con pista ciclabile Treviso/Ostiglia</t>
    </r>
    <r>
      <rPr>
        <i/>
        <sz val="10"/>
        <color indexed="10"/>
        <rFont val="Arial"/>
        <family val="2"/>
      </rPr>
      <t xml:space="preserve"> ( Entrata capitolo 1069)</t>
    </r>
  </si>
  <si>
    <r>
      <t>Contributi da privati per collegamento ciclabile Via Fogazzaro con pista ciclabile Treviso/Ostiglia</t>
    </r>
    <r>
      <rPr>
        <i/>
        <sz val="10"/>
        <color indexed="10"/>
        <rFont val="Arial"/>
        <family val="2"/>
      </rPr>
      <t xml:space="preserve"> (Spesa capitolo 2111)</t>
    </r>
  </si>
  <si>
    <r>
      <t xml:space="preserve">Contributo da Regione Veneto per realizzazione piazzole di scambio su Via Settimo e Via Carbonare e allargamento incrocio di Via Vo di Vanzo                   </t>
    </r>
    <r>
      <rPr>
        <i/>
        <sz val="10"/>
        <color indexed="10"/>
        <rFont val="Arial"/>
        <family val="2"/>
      </rPr>
      <t xml:space="preserve">   (Entrata capitoli 1050+ ) (Spesa capitolo 2112)</t>
    </r>
  </si>
  <si>
    <t>RESIDUI PRESUNTI AL 17.01.2023</t>
  </si>
  <si>
    <t>PREVISIONE 2022 ASSESTATA AL 17.01.2023</t>
  </si>
  <si>
    <t>ACCERTAMENTI AL 17.01.2023</t>
  </si>
  <si>
    <t>Rimborso da Comune di Montegaldella per convenzione Anagrafe-Segreteria</t>
  </si>
  <si>
    <r>
      <t>Fondi incentivanti per il personale Ufficio Tecnico (comma 3, art. 113, D.LGS. 50/2016)</t>
    </r>
    <r>
      <rPr>
        <sz val="9"/>
        <rFont val="Calibri"/>
        <family val="2"/>
      </rPr>
      <t xml:space="preserve"> (80% per spesa di personale)</t>
    </r>
    <r>
      <rPr>
        <sz val="9"/>
        <rFont val="Calibri"/>
        <family val="2"/>
      </rPr>
      <t xml:space="preserve">                                             </t>
    </r>
    <r>
      <rPr>
        <i/>
        <sz val="9"/>
        <color indexed="10"/>
        <rFont val="Calibri"/>
        <family val="2"/>
      </rPr>
      <t>(Spesa capitoli 316-317-318)</t>
    </r>
  </si>
  <si>
    <r>
      <t>Fondi incentivanti per il personale Ufficio Tecnico (comma 3, art. 113, D.LGS. 50/2016)</t>
    </r>
    <r>
      <rPr>
        <sz val="9"/>
        <rFont val="Calibri"/>
        <family val="2"/>
      </rPr>
      <t xml:space="preserve"> (20% per acquisto attrezzature)</t>
    </r>
    <r>
      <rPr>
        <i/>
        <sz val="9"/>
        <color indexed="10"/>
        <rFont val="Calibri"/>
        <family val="2"/>
      </rPr>
      <t xml:space="preserve">                                                 (Spesa capitolo 1502)</t>
    </r>
  </si>
  <si>
    <r>
      <t xml:space="preserve">Contributo regionale per ampliamento scuole medie                                      </t>
    </r>
    <r>
      <rPr>
        <i/>
        <sz val="10"/>
        <color indexed="10"/>
        <rFont val="Arial"/>
        <family val="2"/>
      </rPr>
      <t>(Spesa capitolo 2045)</t>
    </r>
  </si>
  <si>
    <t>IMPEGNI AL 17.01.2023</t>
  </si>
  <si>
    <t>470/1</t>
  </si>
  <si>
    <t>FONDO CASSA AL 1° GENNAIO 2025 (presunto)</t>
  </si>
  <si>
    <t>PREVISIONE RISCOSSIONI 2025</t>
  </si>
  <si>
    <t>PREVISIONE PAGAMENTI 2025</t>
  </si>
  <si>
    <t>PREVISIONE FONDO CASSA AL 31.12.2025</t>
  </si>
  <si>
    <r>
      <t>Acquisto mobili ed attrezzature per uffici</t>
    </r>
    <r>
      <rPr>
        <i/>
        <sz val="10"/>
        <color indexed="10"/>
        <rFont val="Arial"/>
        <family val="2"/>
      </rPr>
      <t xml:space="preserve">                                                                (Entrata capitolo 1050)</t>
    </r>
  </si>
  <si>
    <r>
      <t>Messa in sicurezza strade - Percorso pedonale protetto in ambito urbano Via G.Roi-SP 20</t>
    </r>
    <r>
      <rPr>
        <i/>
        <sz val="10"/>
        <color indexed="10"/>
        <rFont val="Arial"/>
        <family val="2"/>
      </rPr>
      <t xml:space="preserve">                                                                                                (Entrata capitoli 980+1002)</t>
    </r>
  </si>
  <si>
    <r>
      <t xml:space="preserve">Realizzazione piazzole di scambio su Via Settimo e Via Carbonare e allargamento incrocio di Via Vo di Vanzo                                                               </t>
    </r>
    <r>
      <rPr>
        <i/>
        <sz val="10"/>
        <color indexed="10"/>
        <rFont val="Arial"/>
        <family val="2"/>
      </rPr>
      <t xml:space="preserve"> (Entrata capitoli 1050+ 996/4)</t>
    </r>
  </si>
  <si>
    <r>
      <t xml:space="preserve">Riqualificazione centro di Colzè                                                                            </t>
    </r>
    <r>
      <rPr>
        <i/>
        <sz val="10"/>
        <color indexed="10"/>
        <rFont val="Arial"/>
        <family val="2"/>
      </rPr>
      <t>(Entrata capitolo 1050)</t>
    </r>
  </si>
  <si>
    <r>
      <t xml:space="preserve">Sistemazione esterna cimitero capoluogo                                               </t>
    </r>
    <r>
      <rPr>
        <i/>
        <sz val="10"/>
        <color indexed="10"/>
        <rFont val="Arial"/>
        <family val="2"/>
      </rPr>
      <t>(Entrata capitolo 1050)</t>
    </r>
  </si>
  <si>
    <t>COMPETENZA ANNO DI RIFERIMENTO DEL BILANCIO
2022</t>
  </si>
  <si>
    <t>CASSA 
ANNO DI RIFERIMENTO DEL BILANCIO 
2023</t>
  </si>
  <si>
    <r>
      <t xml:space="preserve">Spese per consultazioni elettorali e popolari                                                    </t>
    </r>
    <r>
      <rPr>
        <i/>
        <sz val="10"/>
        <rFont val="Arial"/>
        <family val="2"/>
      </rPr>
      <t xml:space="preserve"> </t>
    </r>
    <r>
      <rPr>
        <i/>
        <sz val="10"/>
        <color indexed="10"/>
        <rFont val="Arial"/>
        <family val="2"/>
      </rPr>
      <t xml:space="preserve">  (Entrata capitolo 251)</t>
    </r>
  </si>
  <si>
    <r>
      <t xml:space="preserve">Interventi promozione invecchiamento attivo DGR 161 in convnezione con Comuni Montegaldella e Grisignano                                                             </t>
    </r>
    <r>
      <rPr>
        <sz val="10"/>
        <color indexed="10"/>
        <rFont val="Arial"/>
        <family val="2"/>
      </rPr>
      <t xml:space="preserve">    </t>
    </r>
    <r>
      <rPr>
        <i/>
        <sz val="10"/>
        <color indexed="10"/>
        <rFont val="Arial"/>
        <family val="2"/>
      </rPr>
      <t xml:space="preserve"> (Entrata capitoli 357-358-359)</t>
    </r>
  </si>
  <si>
    <r>
      <t xml:space="preserve">Contributo regionale a favore delle persone anziane non autosufficienti assistite a domicilio (L.R. 28/91)                                                                               </t>
    </r>
    <r>
      <rPr>
        <sz val="10"/>
        <color indexed="10"/>
        <rFont val="Arial"/>
        <family val="2"/>
      </rPr>
      <t xml:space="preserve">     </t>
    </r>
    <r>
      <rPr>
        <i/>
        <sz val="10"/>
        <color indexed="10"/>
        <rFont val="Arial"/>
        <family val="2"/>
      </rPr>
      <t xml:space="preserve"> (Entrata capitolo 345)</t>
    </r>
  </si>
  <si>
    <r>
      <t xml:space="preserve">Messa in sicurezza edificio sede municipale                                  </t>
    </r>
    <r>
      <rPr>
        <i/>
        <sz val="10"/>
        <color indexed="10"/>
        <rFont val="Arial"/>
        <family val="2"/>
      </rPr>
      <t xml:space="preserve">     (finanziato da avanzo COVID)</t>
    </r>
  </si>
  <si>
    <r>
      <t xml:space="preserve">Acquisto arredi nuovo polo scolastico                                                                   </t>
    </r>
    <r>
      <rPr>
        <i/>
        <sz val="10"/>
        <color indexed="10"/>
        <rFont val="Arial"/>
        <family val="2"/>
      </rPr>
      <t>(Entrata capitolo 1050)</t>
    </r>
  </si>
  <si>
    <r>
      <t xml:space="preserve">Realizzazione cappotto esterno scuole medie - Spese di progettazione - Finanziato da contributo Stato                                             </t>
    </r>
    <r>
      <rPr>
        <i/>
        <sz val="10"/>
        <color indexed="10"/>
        <rFont val="Arial"/>
        <family val="2"/>
      </rPr>
      <t xml:space="preserve"> (Entrata capitolo 975)</t>
    </r>
  </si>
  <si>
    <r>
      <t xml:space="preserve">Messa in sicurezza strade - Percorso pedonale protetto in ambito urbano Via Castello-SP 20                                                                                          </t>
    </r>
    <r>
      <rPr>
        <i/>
        <sz val="10"/>
        <color indexed="10"/>
        <rFont val="Arial"/>
        <family val="2"/>
      </rPr>
      <t xml:space="preserve"> (Entrata capitolo 978/1)</t>
    </r>
  </si>
  <si>
    <r>
      <t>Messa in sicurezza viabilità/infrastrutture stradali : spese di progettazione per adeguamento della viabilità di via Zocco (tratto famiglia Coppo) e tratto rotatoria Via Valsolda (casa Pegoraro)</t>
    </r>
    <r>
      <rPr>
        <i/>
        <sz val="10"/>
        <color indexed="10"/>
        <rFont val="Arial"/>
        <family val="2"/>
      </rPr>
      <t xml:space="preserve"> (Entrata capitolo 1050)</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</si>
</sst>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_-* #,##0.000_-;\-* #,##0.000_-;_-* &quot;-&quot;??_-;_-@_-"/>
    <numFmt numFmtId="179" formatCode="_-* #,##0.0000_-;\-* #,##0.0000_-;_-* &quot;-&quot;??_-;_-@_-"/>
    <numFmt numFmtId="180" formatCode="_-* #,##0.0_-;\-* #,##0.0_-;_-* &quot;-&quot;_-;_-@_-"/>
    <numFmt numFmtId="181" formatCode="_-* #,##0.00_-;\-* #,##0.00_-;_-* &quot;-&quot;_-;_-@_-"/>
    <numFmt numFmtId="182" formatCode="0.0"/>
    <numFmt numFmtId="183" formatCode="[$-410]dddd\ d\ mmmm\ yyyy"/>
    <numFmt numFmtId="184" formatCode="#,##0_ ;\-#,##0\ "/>
    <numFmt numFmtId="185" formatCode="#,##0.00_ ;\-#,##0.00\ "/>
    <numFmt numFmtId="186" formatCode="_-* #,##0_-;\-* #,##0_-;_-* &quot;-&quot;??_-;_-@_-"/>
    <numFmt numFmtId="187" formatCode="&quot;€&quot;\ #,##0.00"/>
    <numFmt numFmtId="188" formatCode="0.0000"/>
    <numFmt numFmtId="189" formatCode="#,##0.0000"/>
  </numFmts>
  <fonts count="135">
    <font>
      <sz val="10"/>
      <name val="Arial"/>
      <family val="0"/>
    </font>
    <font>
      <b/>
      <sz val="16"/>
      <name val="Arial"/>
      <family val="2"/>
    </font>
    <font>
      <sz val="16"/>
      <name val="Arial"/>
      <family val="2"/>
    </font>
    <font>
      <b/>
      <sz val="11"/>
      <name val="Arial"/>
      <family val="2"/>
    </font>
    <font>
      <b/>
      <sz val="10"/>
      <name val="Arial"/>
      <family val="2"/>
    </font>
    <font>
      <b/>
      <sz val="12"/>
      <name val="Arial"/>
      <family val="2"/>
    </font>
    <font>
      <sz val="11"/>
      <name val="Arial"/>
      <family val="2"/>
    </font>
    <font>
      <b/>
      <sz val="14"/>
      <name val="Arial"/>
      <family val="2"/>
    </font>
    <font>
      <u val="single"/>
      <sz val="10"/>
      <color indexed="12"/>
      <name val="Arial"/>
      <family val="2"/>
    </font>
    <font>
      <u val="single"/>
      <sz val="10"/>
      <color indexed="36"/>
      <name val="Arial"/>
      <family val="2"/>
    </font>
    <font>
      <sz val="10"/>
      <color indexed="10"/>
      <name val="Arial"/>
      <family val="2"/>
    </font>
    <font>
      <b/>
      <sz val="11"/>
      <color indexed="10"/>
      <name val="Arial"/>
      <family val="2"/>
    </font>
    <font>
      <i/>
      <sz val="17"/>
      <color indexed="10"/>
      <name val="Arial"/>
      <family val="2"/>
    </font>
    <font>
      <b/>
      <sz val="20"/>
      <name val="Arial"/>
      <family val="2"/>
    </font>
    <font>
      <b/>
      <sz val="18"/>
      <name val="Arial"/>
      <family val="2"/>
    </font>
    <font>
      <sz val="10"/>
      <name val="Calibri"/>
      <family val="2"/>
    </font>
    <font>
      <sz val="11"/>
      <color indexed="8"/>
      <name val="Calibri"/>
      <family val="2"/>
    </font>
    <font>
      <b/>
      <sz val="11"/>
      <color indexed="8"/>
      <name val="Calibri"/>
      <family val="2"/>
    </font>
    <font>
      <sz val="8"/>
      <name val="Arial"/>
      <family val="2"/>
    </font>
    <font>
      <b/>
      <sz val="16"/>
      <color indexed="8"/>
      <name val="Calibri"/>
      <family val="2"/>
    </font>
    <font>
      <sz val="11"/>
      <name val="Calibri"/>
      <family val="2"/>
    </font>
    <font>
      <b/>
      <sz val="11"/>
      <color indexed="10"/>
      <name val="Calibri"/>
      <family val="2"/>
    </font>
    <font>
      <b/>
      <sz val="11"/>
      <name val="Calibri"/>
      <family val="2"/>
    </font>
    <font>
      <i/>
      <sz val="11"/>
      <name val="Calibri"/>
      <family val="2"/>
    </font>
    <font>
      <i/>
      <sz val="11"/>
      <color indexed="8"/>
      <name val="Calibri"/>
      <family val="2"/>
    </font>
    <font>
      <b/>
      <sz val="8"/>
      <name val="Tahoma"/>
      <family val="2"/>
    </font>
    <font>
      <b/>
      <sz val="10"/>
      <color indexed="10"/>
      <name val="Arial"/>
      <family val="2"/>
    </font>
    <font>
      <b/>
      <sz val="10"/>
      <color indexed="12"/>
      <name val="Arial"/>
      <family val="2"/>
    </font>
    <font>
      <b/>
      <sz val="16"/>
      <color indexed="10"/>
      <name val="Arial"/>
      <family val="2"/>
    </font>
    <font>
      <b/>
      <sz val="20"/>
      <color indexed="10"/>
      <name val="Arial"/>
      <family val="2"/>
    </font>
    <font>
      <sz val="12"/>
      <name val="Arial"/>
      <family val="2"/>
    </font>
    <font>
      <b/>
      <sz val="12"/>
      <color indexed="10"/>
      <name val="Arial"/>
      <family val="2"/>
    </font>
    <font>
      <b/>
      <sz val="12"/>
      <color indexed="8"/>
      <name val="Calibri"/>
      <family val="2"/>
    </font>
    <font>
      <sz val="12"/>
      <color indexed="8"/>
      <name val="Arial"/>
      <family val="2"/>
    </font>
    <font>
      <sz val="12"/>
      <color indexed="10"/>
      <name val="Arial"/>
      <family val="2"/>
    </font>
    <font>
      <sz val="12"/>
      <color indexed="12"/>
      <name val="Arial"/>
      <family val="2"/>
    </font>
    <font>
      <b/>
      <sz val="18"/>
      <color indexed="8"/>
      <name val="Calibri"/>
      <family val="2"/>
    </font>
    <font>
      <sz val="10"/>
      <color indexed="12"/>
      <name val="Arial"/>
      <family val="2"/>
    </font>
    <font>
      <b/>
      <sz val="14"/>
      <color indexed="8"/>
      <name val="Arial"/>
      <family val="2"/>
    </font>
    <font>
      <b/>
      <sz val="12"/>
      <color indexed="12"/>
      <name val="Arial"/>
      <family val="2"/>
    </font>
    <font>
      <b/>
      <sz val="12"/>
      <color indexed="14"/>
      <name val="Arial"/>
      <family val="2"/>
    </font>
    <font>
      <b/>
      <sz val="9"/>
      <name val="Tahoma"/>
      <family val="2"/>
    </font>
    <font>
      <b/>
      <sz val="9"/>
      <color indexed="10"/>
      <name val="Tahoma"/>
      <family val="2"/>
    </font>
    <font>
      <i/>
      <sz val="10"/>
      <name val="Arial"/>
      <family val="2"/>
    </font>
    <font>
      <b/>
      <sz val="11"/>
      <color indexed="8"/>
      <name val="Arial"/>
      <family val="2"/>
    </font>
    <font>
      <b/>
      <i/>
      <sz val="10"/>
      <name val="Arial"/>
      <family val="2"/>
    </font>
    <font>
      <sz val="14"/>
      <name val="Arial"/>
      <family val="2"/>
    </font>
    <font>
      <b/>
      <sz val="10"/>
      <name val="Tahoma"/>
      <family val="2"/>
    </font>
    <font>
      <sz val="10"/>
      <color indexed="8"/>
      <name val="Arial"/>
      <family val="2"/>
    </font>
    <font>
      <b/>
      <sz val="14"/>
      <color indexed="8"/>
      <name val="Calibri"/>
      <family val="2"/>
    </font>
    <font>
      <b/>
      <sz val="14"/>
      <name val="Calibri"/>
      <family val="2"/>
    </font>
    <font>
      <sz val="12"/>
      <color indexed="8"/>
      <name val="Calibri"/>
      <family val="2"/>
    </font>
    <font>
      <b/>
      <vertAlign val="superscript"/>
      <sz val="11"/>
      <name val="Calibri"/>
      <family val="2"/>
    </font>
    <font>
      <b/>
      <vertAlign val="superscript"/>
      <sz val="11"/>
      <color indexed="8"/>
      <name val="Calibri"/>
      <family val="2"/>
    </font>
    <font>
      <vertAlign val="superscript"/>
      <sz val="11"/>
      <name val="Calibri"/>
      <family val="2"/>
    </font>
    <font>
      <b/>
      <strike/>
      <vertAlign val="superscript"/>
      <sz val="11"/>
      <name val="Calibri"/>
      <family val="2"/>
    </font>
    <font>
      <b/>
      <sz val="16"/>
      <name val="Calibri"/>
      <family val="2"/>
    </font>
    <font>
      <strike/>
      <sz val="11"/>
      <color indexed="8"/>
      <name val="Calibri"/>
      <family val="2"/>
    </font>
    <font>
      <vertAlign val="superscript"/>
      <sz val="11"/>
      <color indexed="8"/>
      <name val="Calibri"/>
      <family val="2"/>
    </font>
    <font>
      <strike/>
      <sz val="11"/>
      <name val="Calibri"/>
      <family val="2"/>
    </font>
    <font>
      <b/>
      <strike/>
      <sz val="11"/>
      <name val="Calibri"/>
      <family val="2"/>
    </font>
    <font>
      <b/>
      <sz val="12"/>
      <name val="Calibri"/>
      <family val="2"/>
    </font>
    <font>
      <b/>
      <sz val="12"/>
      <name val="Times New Roman"/>
      <family val="1"/>
    </font>
    <font>
      <b/>
      <sz val="11"/>
      <name val="Times New Roman"/>
      <family val="1"/>
    </font>
    <font>
      <b/>
      <vertAlign val="superscript"/>
      <sz val="11"/>
      <name val="Times New Roman"/>
      <family val="1"/>
    </font>
    <font>
      <b/>
      <strike/>
      <sz val="12"/>
      <name val="Times New Roman"/>
      <family val="1"/>
    </font>
    <font>
      <b/>
      <vertAlign val="superscript"/>
      <sz val="12"/>
      <name val="Times New Roman"/>
      <family val="1"/>
    </font>
    <font>
      <vertAlign val="superscript"/>
      <sz val="12"/>
      <color indexed="8"/>
      <name val="Times New Roman"/>
      <family val="1"/>
    </font>
    <font>
      <i/>
      <sz val="7"/>
      <color indexed="8"/>
      <name val="Times New Roman"/>
      <family val="1"/>
    </font>
    <font>
      <i/>
      <sz val="12"/>
      <color indexed="8"/>
      <name val="Times New Roman"/>
      <family val="1"/>
    </font>
    <font>
      <b/>
      <sz val="18"/>
      <name val="Calibri"/>
      <family val="2"/>
    </font>
    <font>
      <b/>
      <strike/>
      <sz val="11"/>
      <name val="Times New Roman"/>
      <family val="1"/>
    </font>
    <font>
      <b/>
      <vertAlign val="superscript"/>
      <sz val="12"/>
      <color indexed="8"/>
      <name val="Times New Roman"/>
      <family val="1"/>
    </font>
    <font>
      <b/>
      <sz val="12"/>
      <color indexed="8"/>
      <name val="Times New Roman"/>
      <family val="1"/>
    </font>
    <font>
      <b/>
      <sz val="10"/>
      <color indexed="8"/>
      <name val="Times New Roman"/>
      <family val="1"/>
    </font>
    <font>
      <sz val="9"/>
      <name val="Calibri"/>
      <family val="2"/>
    </font>
    <font>
      <i/>
      <sz val="10"/>
      <color indexed="10"/>
      <name val="Arial"/>
      <family val="2"/>
    </font>
    <font>
      <i/>
      <sz val="9"/>
      <color indexed="1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trike/>
      <vertAlign val="superscript"/>
      <sz val="11"/>
      <color indexed="8"/>
      <name val="Calibri"/>
      <family val="2"/>
    </font>
    <font>
      <sz val="12"/>
      <color indexed="8"/>
      <name val="Times New Roman"/>
      <family val="1"/>
    </font>
    <font>
      <sz val="10"/>
      <color indexed="8"/>
      <name val="Calibri"/>
      <family val="2"/>
    </font>
    <font>
      <b/>
      <sz val="11"/>
      <color indexed="8"/>
      <name val="Times New Roman"/>
      <family val="1"/>
    </font>
    <font>
      <i/>
      <sz val="11"/>
      <color indexed="8"/>
      <name val="Times New Roman"/>
      <family val="1"/>
    </font>
    <font>
      <u val="single"/>
      <sz val="12"/>
      <color indexed="8"/>
      <name val="Times New Roman"/>
      <family val="1"/>
    </font>
    <font>
      <i/>
      <sz val="12"/>
      <color indexed="8"/>
      <name val="Cambria"/>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FF0000"/>
      <name val="Arial"/>
      <family val="2"/>
    </font>
    <font>
      <b/>
      <sz val="12"/>
      <color rgb="FFFF0000"/>
      <name val="Arial"/>
      <family val="2"/>
    </font>
    <font>
      <i/>
      <sz val="11"/>
      <color theme="1"/>
      <name val="Calibri"/>
      <family val="2"/>
    </font>
    <font>
      <vertAlign val="superscript"/>
      <sz val="11"/>
      <color theme="1"/>
      <name val="Calibri"/>
      <family val="2"/>
    </font>
    <font>
      <strike/>
      <vertAlign val="superscript"/>
      <sz val="11"/>
      <color theme="1"/>
      <name val="Calibri"/>
      <family val="2"/>
    </font>
    <font>
      <sz val="12"/>
      <color rgb="FF000000"/>
      <name val="Times New Roman"/>
      <family val="1"/>
    </font>
    <font>
      <i/>
      <sz val="12"/>
      <color rgb="FF000000"/>
      <name val="Times New Roman"/>
      <family val="1"/>
    </font>
    <font>
      <sz val="10"/>
      <color theme="1"/>
      <name val="Calibri"/>
      <family val="2"/>
    </font>
    <font>
      <b/>
      <sz val="12"/>
      <color rgb="FF000000"/>
      <name val="Times New Roman"/>
      <family val="1"/>
    </font>
    <font>
      <b/>
      <sz val="11"/>
      <color rgb="FF000000"/>
      <name val="Times New Roman"/>
      <family val="1"/>
    </font>
    <font>
      <i/>
      <sz val="11"/>
      <color rgb="FF000000"/>
      <name val="Times New Roman"/>
      <family val="1"/>
    </font>
    <font>
      <sz val="10"/>
      <color rgb="FFFF0000"/>
      <name val="Arial"/>
      <family val="2"/>
    </font>
    <font>
      <sz val="12"/>
      <color rgb="FFFF0000"/>
      <name val="Arial"/>
      <family val="2"/>
    </font>
    <font>
      <b/>
      <sz val="11"/>
      <color rgb="FFFF0000"/>
      <name val="Arial"/>
      <family val="2"/>
    </font>
    <font>
      <strike/>
      <sz val="11"/>
      <color theme="1"/>
      <name val="Calibri"/>
      <family val="2"/>
    </font>
    <font>
      <u val="single"/>
      <sz val="12"/>
      <color rgb="FF000000"/>
      <name val="Times New Roman"/>
      <family val="1"/>
    </font>
    <font>
      <i/>
      <sz val="12"/>
      <color theme="1"/>
      <name val="Cambria"/>
      <family val="1"/>
    </font>
    <font>
      <b/>
      <sz val="8"/>
      <name val="Arial"/>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rgb="FFEBF1DE"/>
        <bgColor indexed="64"/>
      </patternFill>
    </fill>
    <fill>
      <patternFill patternType="solid">
        <fgColor rgb="FFDAEEF3"/>
        <bgColor indexed="64"/>
      </patternFill>
    </fill>
    <fill>
      <patternFill patternType="solid">
        <fgColor rgb="FFE4DFEC"/>
        <bgColor indexed="64"/>
      </patternFill>
    </fill>
    <fill>
      <patternFill patternType="solid">
        <fgColor theme="0" tint="-0.24997000396251678"/>
        <bgColor indexed="64"/>
      </patternFill>
    </fill>
    <fill>
      <patternFill patternType="solid">
        <fgColor rgb="FFE6B8B7"/>
        <bgColor indexed="64"/>
      </patternFill>
    </fill>
    <fill>
      <patternFill patternType="solid">
        <fgColor theme="6" tint="0.39998000860214233"/>
        <bgColor indexed="64"/>
      </patternFill>
    </fill>
    <fill>
      <patternFill patternType="solid">
        <fgColor rgb="FFC4D79B"/>
        <bgColor indexed="64"/>
      </patternFill>
    </fill>
    <fill>
      <patternFill patternType="solid">
        <fgColor theme="3" tint="0.5999900102615356"/>
        <bgColor indexed="64"/>
      </patternFill>
    </fill>
    <fill>
      <patternFill patternType="solid">
        <fgColor rgb="FF8DB4E2"/>
        <bgColor indexed="64"/>
      </patternFill>
    </fill>
    <fill>
      <patternFill patternType="solid">
        <fgColor rgb="FFB7DEE8"/>
        <bgColor indexed="64"/>
      </patternFill>
    </fill>
    <fill>
      <patternFill patternType="solid">
        <fgColor rgb="FFFF0000"/>
        <bgColor indexed="64"/>
      </patternFill>
    </fill>
  </fills>
  <borders count="17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style="thin"/>
      <right style="thin"/>
      <top/>
      <bottom/>
    </border>
    <border>
      <left style="thin"/>
      <right style="thin"/>
      <top style="thin"/>
      <bottom>
        <color indexed="63"/>
      </bottom>
    </border>
    <border>
      <left style="thin"/>
      <right style="thin"/>
      <top>
        <color indexed="63"/>
      </top>
      <bottom style="thin"/>
    </border>
    <border>
      <left/>
      <right style="thin"/>
      <top/>
      <bottom style="thin"/>
    </border>
    <border>
      <left style="thin"/>
      <right style="thin"/>
      <top style="medium"/>
      <bottom style="thin"/>
    </border>
    <border>
      <left style="thin"/>
      <right style="medium"/>
      <top style="medium"/>
      <bottom style="thin"/>
    </border>
    <border>
      <left style="medium"/>
      <right style="thin"/>
      <top/>
      <bottom/>
    </border>
    <border>
      <left style="medium"/>
      <right style="thin"/>
      <top>
        <color indexed="63"/>
      </top>
      <bottom style="thin"/>
    </border>
    <border>
      <left style="thin"/>
      <right style="medium"/>
      <top>
        <color indexed="63"/>
      </top>
      <bottom/>
    </border>
    <border>
      <left style="medium"/>
      <right style="thin"/>
      <top/>
      <bottom style="medium"/>
    </border>
    <border>
      <left style="medium"/>
      <right>
        <color indexed="63"/>
      </right>
      <top>
        <color indexed="63"/>
      </top>
      <bottom>
        <color indexed="63"/>
      </bottom>
    </border>
    <border>
      <left style="medium"/>
      <right style="thin"/>
      <top style="thin"/>
      <bottom style="hair"/>
    </border>
    <border>
      <left/>
      <right style="thin"/>
      <top style="thin"/>
      <bottom style="hair"/>
    </border>
    <border>
      <left/>
      <right/>
      <top style="thin"/>
      <bottom/>
    </border>
    <border>
      <left style="thin"/>
      <right style="thin"/>
      <top/>
      <bottom style="double"/>
    </border>
    <border>
      <left>
        <color indexed="63"/>
      </left>
      <right style="thin"/>
      <top style="thin"/>
      <bottom style="thin"/>
    </border>
    <border>
      <left>
        <color indexed="63"/>
      </left>
      <right>
        <color indexed="63"/>
      </right>
      <top/>
      <bottom style="thin"/>
    </border>
    <border>
      <left style="thin"/>
      <right style="thin"/>
      <top style="thin"/>
      <bottom style="thin"/>
    </border>
    <border>
      <left>
        <color indexed="63"/>
      </left>
      <right>
        <color indexed="63"/>
      </right>
      <top style="thin"/>
      <bottom style="thin"/>
    </border>
    <border>
      <left style="thin"/>
      <right style="thin"/>
      <top>
        <color indexed="63"/>
      </top>
      <bottom style="medium"/>
    </border>
    <border>
      <left style="thin"/>
      <right/>
      <top>
        <color indexed="63"/>
      </top>
      <bottom/>
    </border>
    <border>
      <left style="medium"/>
      <right>
        <color indexed="63"/>
      </right>
      <top/>
      <bottom style="thin"/>
    </border>
    <border>
      <left style="medium"/>
      <right/>
      <top style="thin"/>
      <bottom/>
    </border>
    <border>
      <left style="medium"/>
      <right/>
      <top style="thin"/>
      <bottom style="thin"/>
    </border>
    <border>
      <left style="medium"/>
      <right/>
      <top/>
      <bottom style="medium"/>
    </border>
    <border>
      <left style="thin"/>
      <right style="medium"/>
      <top/>
      <bottom style="medium"/>
    </border>
    <border>
      <left style="medium"/>
      <right/>
      <top/>
      <bottom style="double"/>
    </border>
    <border>
      <left style="medium"/>
      <right style="thin"/>
      <top style="medium"/>
      <bottom style="medium"/>
    </border>
    <border>
      <left style="thin"/>
      <right style="medium"/>
      <top style="medium"/>
      <bottom style="medium"/>
    </border>
    <border>
      <left style="thin"/>
      <right style="medium"/>
      <top/>
      <bottom style="thin"/>
    </border>
    <border>
      <left/>
      <right style="thin"/>
      <top/>
      <bottom style="medium"/>
    </border>
    <border>
      <left style="thin"/>
      <right>
        <color indexed="63"/>
      </right>
      <top style="thin"/>
      <bottom style="thin"/>
    </border>
    <border>
      <left style="thin"/>
      <right>
        <color indexed="63"/>
      </right>
      <top>
        <color indexed="63"/>
      </top>
      <bottom style="thin"/>
    </border>
    <border>
      <left style="thin"/>
      <right>
        <color indexed="63"/>
      </right>
      <top>
        <color indexed="63"/>
      </top>
      <bottom style="medium"/>
    </border>
    <border>
      <left style="thin"/>
      <right style="thin"/>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thin"/>
      <right style="thin"/>
      <top style="thin"/>
      <bottom style="medium"/>
    </border>
    <border>
      <left style="thin"/>
      <right>
        <color indexed="63"/>
      </right>
      <top style="medium"/>
      <bottom style="thin"/>
    </border>
    <border>
      <left style="thin"/>
      <right>
        <color indexed="63"/>
      </right>
      <top style="thin"/>
      <bottom>
        <color indexed="63"/>
      </bottom>
    </border>
    <border>
      <left style="thin"/>
      <right style="medium"/>
      <top style="thin"/>
      <bottom>
        <color indexed="63"/>
      </bottom>
    </border>
    <border>
      <left style="thin"/>
      <right>
        <color indexed="63"/>
      </right>
      <top/>
      <bottom style="double"/>
    </border>
    <border>
      <left style="thin"/>
      <right style="medium"/>
      <top style="thin"/>
      <bottom style="thin"/>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thin"/>
      <bottom style="medium"/>
    </border>
    <border>
      <left style="thin"/>
      <right style="medium"/>
      <top style="thin"/>
      <bottom style="medium"/>
    </border>
    <border>
      <left style="medium"/>
      <right>
        <color indexed="63"/>
      </right>
      <top style="thin"/>
      <bottom style="medium"/>
    </border>
    <border>
      <left style="medium"/>
      <right style="thin"/>
      <top style="thin"/>
      <bottom style="thin"/>
    </border>
    <border>
      <left>
        <color indexed="63"/>
      </left>
      <right>
        <color indexed="63"/>
      </right>
      <top style="thin"/>
      <bottom style="hair"/>
    </border>
    <border>
      <left style="thin"/>
      <right>
        <color indexed="63"/>
      </right>
      <top style="thin"/>
      <bottom style="hair"/>
    </border>
    <border>
      <left>
        <color indexed="63"/>
      </left>
      <right style="medium"/>
      <top style="medium"/>
      <bottom style="medium"/>
    </border>
    <border>
      <left style="medium"/>
      <right style="thin"/>
      <top style="medium"/>
      <bottom style="thin"/>
    </border>
    <border>
      <left style="thin"/>
      <right>
        <color indexed="63"/>
      </right>
      <top style="thin"/>
      <bottom style="medium"/>
    </border>
    <border>
      <left>
        <color indexed="63"/>
      </left>
      <right style="medium"/>
      <top style="medium"/>
      <bottom>
        <color indexed="63"/>
      </bottom>
    </border>
    <border>
      <left>
        <color indexed="63"/>
      </left>
      <right style="medium"/>
      <top style="medium"/>
      <bottom style="thin"/>
    </border>
    <border>
      <left style="thin"/>
      <right style="medium"/>
      <top style="thin"/>
      <bottom style="hair"/>
    </border>
    <border>
      <left style="hair"/>
      <right style="hair"/>
      <top>
        <color indexed="63"/>
      </top>
      <bottom style="hair"/>
    </border>
    <border>
      <left style="hair"/>
      <right style="hair"/>
      <top style="hair"/>
      <bottom style="hair"/>
    </border>
    <border>
      <left style="thin"/>
      <right style="double"/>
      <top/>
      <bottom/>
    </border>
    <border>
      <left style="thin"/>
      <right style="thin"/>
      <top style="double"/>
      <bottom style="thin"/>
    </border>
    <border>
      <left style="thin"/>
      <right style="double"/>
      <top style="double"/>
      <bottom style="thin"/>
    </border>
    <border>
      <left/>
      <right style="thin"/>
      <top style="thin"/>
      <bottom/>
    </border>
    <border>
      <left>
        <color indexed="63"/>
      </left>
      <right>
        <color indexed="63"/>
      </right>
      <top>
        <color indexed="63"/>
      </top>
      <bottom style="medium"/>
    </border>
    <border>
      <left style="medium"/>
      <right style="hair"/>
      <top>
        <color indexed="63"/>
      </top>
      <bottom style="hair"/>
    </border>
    <border>
      <left style="medium"/>
      <right style="hair"/>
      <top style="hair"/>
      <bottom style="hair"/>
    </border>
    <border>
      <left/>
      <right/>
      <top style="hair"/>
      <bottom style="hair"/>
    </border>
    <border>
      <left style="hair"/>
      <right>
        <color indexed="63"/>
      </right>
      <top style="hair"/>
      <bottom style="hair"/>
    </border>
    <border>
      <left style="thin"/>
      <right>
        <color indexed="63"/>
      </right>
      <top style="medium"/>
      <bottom style="medium"/>
    </border>
    <border>
      <left style="hair"/>
      <right style="hair"/>
      <top style="medium"/>
      <bottom style="thin"/>
    </border>
    <border>
      <left style="hair"/>
      <right>
        <color indexed="63"/>
      </right>
      <top>
        <color indexed="63"/>
      </top>
      <bottom style="hair"/>
    </border>
    <border>
      <left style="thin"/>
      <right style="thin"/>
      <top style="medium"/>
      <bottom style="medium"/>
    </border>
    <border>
      <left style="medium"/>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medium"/>
      <right style="hair"/>
      <top>
        <color indexed="63"/>
      </top>
      <bottom>
        <color indexed="63"/>
      </bottom>
    </border>
    <border>
      <left style="hair"/>
      <right style="hair"/>
      <top>
        <color indexed="63"/>
      </top>
      <bottom>
        <color indexed="63"/>
      </bottom>
    </border>
    <border>
      <left/>
      <right>
        <color indexed="63"/>
      </right>
      <top style="medium"/>
      <bottom style="thin"/>
    </border>
    <border>
      <left style="medium"/>
      <right style="hair"/>
      <top style="hair"/>
      <bottom style="medium"/>
    </border>
    <border>
      <left>
        <color indexed="63"/>
      </left>
      <right>
        <color indexed="63"/>
      </right>
      <top style="medium"/>
      <bottom>
        <color indexed="63"/>
      </bottom>
    </border>
    <border>
      <left style="thin"/>
      <right style="thin"/>
      <top style="double"/>
      <bottom style="double"/>
    </border>
    <border>
      <left>
        <color indexed="63"/>
      </left>
      <right style="medium"/>
      <top>
        <color indexed="63"/>
      </top>
      <bottom style="medium"/>
    </border>
    <border>
      <left>
        <color indexed="63"/>
      </left>
      <right>
        <color indexed="63"/>
      </right>
      <top style="medium"/>
      <bottom style="medium"/>
    </border>
    <border>
      <left style="hair"/>
      <right>
        <color indexed="63"/>
      </right>
      <top style="thin"/>
      <bottom style="hair"/>
    </border>
    <border>
      <left style="hair"/>
      <right style="hair"/>
      <top style="thin"/>
      <bottom style="hair"/>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style="thin"/>
    </border>
    <border>
      <left style="hair"/>
      <right>
        <color indexed="63"/>
      </right>
      <top style="hair"/>
      <bottom style="thin"/>
    </border>
    <border>
      <left style="medium"/>
      <right style="hair"/>
      <top style="thin"/>
      <bottom style="hair"/>
    </border>
    <border>
      <left style="hair"/>
      <right>
        <color indexed="63"/>
      </right>
      <top style="thin"/>
      <bottom style="thin"/>
    </border>
    <border>
      <left style="medium"/>
      <right>
        <color indexed="63"/>
      </right>
      <top style="medium"/>
      <bottom style="thin"/>
    </border>
    <border>
      <left style="medium"/>
      <right style="hair"/>
      <top style="hair"/>
      <bottom style="thin"/>
    </border>
    <border>
      <left style="hair"/>
      <right style="hair"/>
      <top style="hair"/>
      <bottom style="thin"/>
    </border>
    <border>
      <left>
        <color indexed="63"/>
      </left>
      <right style="medium"/>
      <top>
        <color indexed="63"/>
      </top>
      <bottom>
        <color indexed="63"/>
      </bottom>
    </border>
    <border>
      <left style="medium"/>
      <right style="hair"/>
      <top style="medium"/>
      <bottom style="hair"/>
    </border>
    <border>
      <left style="hair"/>
      <right style="hair"/>
      <top style="medium"/>
      <bottom style="hair"/>
    </border>
    <border>
      <left style="hair"/>
      <right>
        <color indexed="63"/>
      </right>
      <top style="medium"/>
      <bottom style="hair"/>
    </border>
    <border>
      <left style="medium"/>
      <right style="medium"/>
      <top style="thin"/>
      <bottom style="thin"/>
    </border>
    <border>
      <left style="medium"/>
      <right style="medium"/>
      <top style="hair"/>
      <bottom style="hair"/>
    </border>
    <border>
      <left style="medium"/>
      <right style="medium"/>
      <top>
        <color indexed="63"/>
      </top>
      <bottom style="hair"/>
    </border>
    <border>
      <left style="medium"/>
      <right style="medium"/>
      <top style="hair"/>
      <bottom>
        <color indexed="63"/>
      </bottom>
    </border>
    <border>
      <left>
        <color indexed="63"/>
      </left>
      <right style="thin"/>
      <top style="medium"/>
      <bottom>
        <color indexed="63"/>
      </bottom>
    </border>
    <border>
      <left style="medium"/>
      <right style="medium"/>
      <top style="medium"/>
      <bottom style="thin"/>
    </border>
    <border>
      <left style="medium"/>
      <right style="medium"/>
      <top style="medium"/>
      <bottom style="hair"/>
    </border>
    <border>
      <left style="medium"/>
      <right style="medium"/>
      <top>
        <color indexed="63"/>
      </top>
      <bottom>
        <color indexed="63"/>
      </bottom>
    </border>
    <border>
      <left style="medium"/>
      <right style="medium"/>
      <top>
        <color indexed="63"/>
      </top>
      <bottom style="thin"/>
    </border>
    <border>
      <left style="medium"/>
      <right style="medium"/>
      <top style="medium"/>
      <bottom>
        <color indexed="63"/>
      </bottom>
    </border>
    <border>
      <left style="medium"/>
      <right style="medium"/>
      <top style="thin"/>
      <bottom style="medium"/>
    </border>
    <border>
      <left style="medium"/>
      <right style="medium"/>
      <top style="thin"/>
      <bottom>
        <color indexed="63"/>
      </bottom>
    </border>
    <border>
      <left style="medium"/>
      <right style="medium"/>
      <top style="thin"/>
      <bottom style="hair"/>
    </border>
    <border>
      <left style="hair"/>
      <right style="hair"/>
      <top>
        <color indexed="63"/>
      </top>
      <bottom style="medium"/>
    </border>
    <border>
      <left style="medium"/>
      <right style="medium"/>
      <top style="double"/>
      <bottom style="medium"/>
    </border>
    <border>
      <left style="hair"/>
      <right style="hair"/>
      <top>
        <color indexed="63"/>
      </top>
      <bottom style="thin"/>
    </border>
    <border>
      <left style="hair"/>
      <right>
        <color indexed="63"/>
      </right>
      <top style="thin"/>
      <bottom>
        <color indexed="63"/>
      </bottom>
    </border>
    <border>
      <left>
        <color indexed="63"/>
      </left>
      <right style="hair"/>
      <top style="hair"/>
      <bottom style="hair"/>
    </border>
    <border>
      <left>
        <color indexed="63"/>
      </left>
      <right style="hair"/>
      <top>
        <color indexed="63"/>
      </top>
      <bottom style="hair"/>
    </border>
    <border>
      <left style="medium"/>
      <right style="medium"/>
      <top style="hair"/>
      <bottom style="thin"/>
    </border>
    <border>
      <left style="hair"/>
      <right style="hair"/>
      <top style="hair"/>
      <bottom style="medium"/>
    </border>
    <border>
      <left>
        <color indexed="63"/>
      </left>
      <right style="hair"/>
      <top style="medium"/>
      <bottom style="hair"/>
    </border>
    <border>
      <left style="double"/>
      <right>
        <color indexed="63"/>
      </right>
      <top style="thin"/>
      <bottom>
        <color indexed="63"/>
      </bottom>
    </border>
    <border>
      <left style="double"/>
      <right>
        <color indexed="63"/>
      </right>
      <top>
        <color indexed="63"/>
      </top>
      <bottom style="thin"/>
    </border>
    <border>
      <left style="double"/>
      <right>
        <color indexed="63"/>
      </right>
      <top>
        <color indexed="63"/>
      </top>
      <bottom>
        <color indexed="63"/>
      </bottom>
    </border>
    <border>
      <left style="thin"/>
      <right style="double"/>
      <top>
        <color indexed="63"/>
      </top>
      <bottom style="thin"/>
    </border>
    <border>
      <left style="thin"/>
      <right style="double"/>
      <top style="thin"/>
      <bottom>
        <color indexed="63"/>
      </bottom>
    </border>
    <border>
      <left style="double"/>
      <right/>
      <top/>
      <bottom style="double"/>
    </border>
    <border>
      <left/>
      <right/>
      <top/>
      <bottom style="double"/>
    </border>
    <border>
      <left style="double"/>
      <right style="thin"/>
      <top style="double"/>
      <bottom style="double"/>
    </border>
    <border>
      <left/>
      <right/>
      <top style="double"/>
      <bottom style="double"/>
    </border>
    <border>
      <left/>
      <right style="double"/>
      <top style="double"/>
      <bottom style="double"/>
    </border>
    <border>
      <left style="double"/>
      <right style="thin"/>
      <top/>
      <bottom/>
    </border>
    <border>
      <left style="double"/>
      <right style="thin"/>
      <top style="thin"/>
      <bottom style="thin"/>
    </border>
    <border>
      <left style="double"/>
      <right style="thin"/>
      <top style="thin"/>
      <bottom style="double"/>
    </border>
    <border>
      <left style="thin"/>
      <right style="thin"/>
      <top style="thin"/>
      <bottom style="double"/>
    </border>
    <border>
      <left/>
      <right style="double"/>
      <top/>
      <bottom/>
    </border>
    <border>
      <left style="thin"/>
      <right style="double"/>
      <top style="double"/>
      <bottom/>
    </border>
    <border>
      <left>
        <color indexed="63"/>
      </left>
      <right>
        <color indexed="63"/>
      </right>
      <top style="double"/>
      <bottom>
        <color indexed="63"/>
      </bottom>
    </border>
    <border>
      <left style="thin"/>
      <right style="double"/>
      <top/>
      <bottom style="double"/>
    </border>
    <border>
      <left>
        <color indexed="63"/>
      </left>
      <right style="thin"/>
      <top style="medium"/>
      <bottom style="medium"/>
    </border>
    <border>
      <left style="medium"/>
      <right style="medium"/>
      <top style="hair"/>
      <bottom style="medium"/>
    </border>
    <border>
      <left style="hair"/>
      <right style="medium"/>
      <top style="medium"/>
      <bottom style="medium"/>
    </border>
    <border>
      <left style="thin"/>
      <right style="hair"/>
      <top style="thin"/>
      <bottom style="medium"/>
    </border>
    <border>
      <left>
        <color indexed="63"/>
      </left>
      <right style="medium"/>
      <top style="thin"/>
      <bottom style="thin"/>
    </border>
    <border>
      <left style="thin"/>
      <right style="double"/>
      <top style="thin"/>
      <bottom style="thin"/>
    </border>
    <border>
      <left style="thin"/>
      <right style="double"/>
      <top style="thin"/>
      <bottom style="double"/>
    </border>
    <border>
      <left style="medium"/>
      <right style="hair"/>
      <top style="medium"/>
      <bottom style="medium"/>
    </border>
    <border>
      <left style="hair"/>
      <right style="hair"/>
      <top style="medium"/>
      <bottom style="medium"/>
    </border>
    <border>
      <left style="hair"/>
      <right style="hair"/>
      <top style="medium"/>
      <bottom>
        <color indexed="63"/>
      </bottom>
    </border>
    <border>
      <left style="thin"/>
      <right style="hair"/>
      <top style="thin"/>
      <bottom style="hair"/>
    </border>
    <border>
      <left style="thin"/>
      <right style="hair"/>
      <top>
        <color indexed="63"/>
      </top>
      <bottom style="hair"/>
    </border>
    <border>
      <left style="thin"/>
      <right style="hair"/>
      <top>
        <color indexed="63"/>
      </top>
      <bottom style="thin"/>
    </border>
    <border>
      <left>
        <color indexed="63"/>
      </left>
      <right>
        <color indexed="63"/>
      </right>
      <top style="thin"/>
      <bottom style="medium"/>
    </border>
    <border>
      <left>
        <color indexed="63"/>
      </left>
      <right style="thin"/>
      <top style="thin"/>
      <bottom style="medium"/>
    </border>
    <border>
      <left style="medium"/>
      <right style="thin"/>
      <top style="thin"/>
      <bottom/>
    </border>
    <border>
      <left>
        <color indexed="63"/>
      </left>
      <right style="medium"/>
      <top>
        <color indexed="63"/>
      </top>
      <bottom style="thin"/>
    </border>
    <border>
      <left style="double"/>
      <right/>
      <top style="double"/>
      <bottom style="thin"/>
    </border>
    <border>
      <left/>
      <right style="thin"/>
      <top style="double"/>
      <bottom style="thin"/>
    </border>
    <border>
      <left style="double"/>
      <right>
        <color indexed="63"/>
      </right>
      <top style="thin"/>
      <bottom style="thin"/>
    </border>
    <border>
      <left/>
      <right style="double"/>
      <top style="thin"/>
      <bottom style="thin"/>
    </border>
    <border>
      <left>
        <color indexed="63"/>
      </left>
      <right style="thin"/>
      <top>
        <color indexed="63"/>
      </top>
      <bottom style="double"/>
    </border>
    <border>
      <left style="double"/>
      <right/>
      <top style="double"/>
      <bottom style="double"/>
    </border>
    <border>
      <left/>
      <right style="double"/>
      <top/>
      <bottom style="double"/>
    </border>
    <border>
      <left style="double"/>
      <right/>
      <top style="double"/>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0"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2" fillId="19" borderId="1" applyNumberFormat="0" applyAlignment="0" applyProtection="0"/>
    <xf numFmtId="0" fontId="103" fillId="0" borderId="2" applyNumberFormat="0" applyFill="0" applyAlignment="0" applyProtection="0"/>
    <xf numFmtId="0" fontId="104" fillId="20"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1" fillId="26" borderId="0" applyNumberFormat="0" applyBorder="0" applyAlignment="0" applyProtection="0"/>
    <xf numFmtId="0" fontId="105"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6" fillId="28" borderId="0" applyNumberFormat="0" applyBorder="0" applyAlignment="0" applyProtection="0"/>
    <xf numFmtId="0" fontId="0" fillId="0" borderId="0">
      <alignment/>
      <protection/>
    </xf>
    <xf numFmtId="0" fontId="0" fillId="0" borderId="0">
      <alignment/>
      <protection/>
    </xf>
    <xf numFmtId="0" fontId="0" fillId="29" borderId="4" applyNumberFormat="0" applyFont="0" applyAlignment="0" applyProtection="0"/>
    <xf numFmtId="0" fontId="107" fillId="19" borderId="5" applyNumberFormat="0" applyAlignment="0" applyProtection="0"/>
    <xf numFmtId="9" fontId="0" fillId="0" borderId="0" applyFon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6" applyNumberFormat="0" applyFill="0" applyAlignment="0" applyProtection="0"/>
    <xf numFmtId="0" fontId="112" fillId="0" borderId="7" applyNumberFormat="0" applyFill="0" applyAlignment="0" applyProtection="0"/>
    <xf numFmtId="0" fontId="113" fillId="0" borderId="8" applyNumberFormat="0" applyFill="0" applyAlignment="0" applyProtection="0"/>
    <xf numFmtId="0" fontId="113" fillId="0" borderId="0" applyNumberFormat="0" applyFill="0" applyBorder="0" applyAlignment="0" applyProtection="0"/>
    <xf numFmtId="0" fontId="114" fillId="0" borderId="9" applyNumberFormat="0" applyFill="0" applyAlignment="0" applyProtection="0"/>
    <xf numFmtId="0" fontId="115" fillId="30" borderId="0" applyNumberFormat="0" applyBorder="0" applyAlignment="0" applyProtection="0"/>
    <xf numFmtId="0" fontId="116" fillId="31"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507">
    <xf numFmtId="0" fontId="0" fillId="0" borderId="0" xfId="0" applyAlignment="1">
      <alignment/>
    </xf>
    <xf numFmtId="43" fontId="20" fillId="0" borderId="10" xfId="45" applyFont="1" applyFill="1" applyBorder="1" applyAlignment="1">
      <alignment horizontal="center" vertical="center" wrapText="1"/>
    </xf>
    <xf numFmtId="43" fontId="20" fillId="0" borderId="11" xfId="45" applyFont="1" applyFill="1" applyBorder="1" applyAlignment="1">
      <alignment horizontal="center" vertical="center" wrapText="1"/>
    </xf>
    <xf numFmtId="43" fontId="20" fillId="0" borderId="0" xfId="45" applyFont="1" applyFill="1" applyBorder="1" applyAlignment="1">
      <alignment horizontal="center" vertical="center" wrapText="1"/>
    </xf>
    <xf numFmtId="0" fontId="0" fillId="0" borderId="0" xfId="0" applyFill="1" applyAlignment="1">
      <alignment vertical="center"/>
    </xf>
    <xf numFmtId="0" fontId="17" fillId="0" borderId="10" xfId="0" applyFont="1" applyFill="1" applyBorder="1" applyAlignment="1">
      <alignment horizontal="left" vertical="center"/>
    </xf>
    <xf numFmtId="0" fontId="0" fillId="0" borderId="12" xfId="0" applyFill="1" applyBorder="1" applyAlignment="1">
      <alignment horizontal="center" vertical="center"/>
    </xf>
    <xf numFmtId="0" fontId="0" fillId="0" borderId="10" xfId="0" applyFill="1" applyBorder="1" applyAlignment="1">
      <alignment horizontal="center" vertical="center"/>
    </xf>
    <xf numFmtId="43" fontId="0" fillId="0" borderId="13" xfId="45" applyFont="1" applyFill="1" applyBorder="1" applyAlignment="1">
      <alignment horizontal="center" vertical="center"/>
    </xf>
    <xf numFmtId="43" fontId="0" fillId="0" borderId="10" xfId="45" applyFont="1" applyFill="1" applyBorder="1" applyAlignment="1">
      <alignment horizontal="center" vertical="center"/>
    </xf>
    <xf numFmtId="43" fontId="0" fillId="0" borderId="11" xfId="45" applyFont="1" applyFill="1" applyBorder="1" applyAlignment="1">
      <alignment horizontal="center" vertical="center"/>
    </xf>
    <xf numFmtId="43" fontId="21" fillId="0" borderId="14" xfId="45" applyFont="1" applyFill="1" applyBorder="1" applyAlignment="1">
      <alignment vertical="center"/>
    </xf>
    <xf numFmtId="43" fontId="17" fillId="0" borderId="10" xfId="45" applyFont="1" applyFill="1" applyBorder="1" applyAlignment="1">
      <alignment horizontal="left" vertical="center"/>
    </xf>
    <xf numFmtId="43" fontId="17" fillId="0" borderId="10" xfId="45" applyFont="1" applyFill="1" applyBorder="1" applyAlignment="1">
      <alignment vertical="center"/>
    </xf>
    <xf numFmtId="43" fontId="0" fillId="0" borderId="11" xfId="45" applyFont="1" applyFill="1" applyBorder="1" applyAlignment="1">
      <alignment vertical="center"/>
    </xf>
    <xf numFmtId="43" fontId="0" fillId="0" borderId="10" xfId="45" applyFont="1" applyFill="1" applyBorder="1" applyAlignment="1">
      <alignment vertical="center"/>
    </xf>
    <xf numFmtId="43" fontId="0" fillId="0" borderId="10" xfId="45" applyFont="1" applyFill="1" applyBorder="1" applyAlignment="1">
      <alignment horizontal="right" vertical="center"/>
    </xf>
    <xf numFmtId="0" fontId="0" fillId="0" borderId="0" xfId="0" applyFill="1" applyBorder="1" applyAlignment="1">
      <alignment vertical="center"/>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0" fillId="0" borderId="17" xfId="0" applyFill="1" applyBorder="1" applyAlignment="1">
      <alignment horizontal="center" vertical="center"/>
    </xf>
    <xf numFmtId="0" fontId="17" fillId="0" borderId="18" xfId="0" applyFont="1" applyFill="1" applyBorder="1" applyAlignment="1">
      <alignment horizontal="left" vertical="center"/>
    </xf>
    <xf numFmtId="0" fontId="17" fillId="0" borderId="17" xfId="0" applyFont="1" applyFill="1" applyBorder="1" applyAlignment="1">
      <alignment horizontal="left" vertical="center"/>
    </xf>
    <xf numFmtId="0" fontId="17" fillId="0" borderId="18" xfId="0" applyFont="1" applyFill="1" applyBorder="1" applyAlignment="1">
      <alignment vertical="center"/>
    </xf>
    <xf numFmtId="43" fontId="0" fillId="0" borderId="19" xfId="45" applyFont="1" applyFill="1" applyBorder="1" applyAlignment="1">
      <alignment horizontal="center" vertical="center"/>
    </xf>
    <xf numFmtId="0" fontId="0" fillId="0" borderId="18" xfId="0" applyFill="1" applyBorder="1" applyAlignment="1">
      <alignment vertical="center" wrapText="1"/>
    </xf>
    <xf numFmtId="0" fontId="0" fillId="0" borderId="17" xfId="0" applyFill="1" applyBorder="1" applyAlignment="1">
      <alignment vertical="center"/>
    </xf>
    <xf numFmtId="43" fontId="0" fillId="0" borderId="19" xfId="45" applyFont="1" applyFill="1" applyBorder="1" applyAlignment="1">
      <alignment vertical="center"/>
    </xf>
    <xf numFmtId="0" fontId="0" fillId="0" borderId="18" xfId="0" applyFill="1" applyBorder="1" applyAlignment="1">
      <alignment vertical="center"/>
    </xf>
    <xf numFmtId="0" fontId="17" fillId="0" borderId="20" xfId="0" applyFont="1" applyFill="1" applyBorder="1" applyAlignment="1">
      <alignment horizontal="center" vertical="center"/>
    </xf>
    <xf numFmtId="0" fontId="0" fillId="0" borderId="17" xfId="0" applyFill="1" applyBorder="1" applyAlignment="1">
      <alignment horizontal="right" vertical="center"/>
    </xf>
    <xf numFmtId="0" fontId="0" fillId="0" borderId="21" xfId="0" applyFill="1" applyBorder="1" applyAlignment="1">
      <alignment vertical="center"/>
    </xf>
    <xf numFmtId="0" fontId="22" fillId="0" borderId="18" xfId="0" applyFont="1" applyFill="1" applyBorder="1" applyAlignment="1">
      <alignment vertical="center"/>
    </xf>
    <xf numFmtId="0" fontId="17" fillId="0" borderId="17" xfId="0" applyFont="1" applyFill="1" applyBorder="1" applyAlignment="1">
      <alignment vertical="center"/>
    </xf>
    <xf numFmtId="0" fontId="23" fillId="0" borderId="17" xfId="0" applyFont="1" applyFill="1" applyBorder="1" applyAlignment="1">
      <alignment horizontal="left" vertical="center"/>
    </xf>
    <xf numFmtId="0" fontId="23" fillId="0" borderId="22" xfId="0" applyFont="1" applyFill="1" applyBorder="1" applyAlignment="1">
      <alignment horizontal="left" vertical="center"/>
    </xf>
    <xf numFmtId="43" fontId="23" fillId="0" borderId="23" xfId="45" applyFont="1" applyFill="1" applyBorder="1" applyAlignment="1">
      <alignment horizontal="center" vertical="center" wrapText="1"/>
    </xf>
    <xf numFmtId="0" fontId="0" fillId="0" borderId="0" xfId="0" applyAlignment="1">
      <alignment vertical="center"/>
    </xf>
    <xf numFmtId="0" fontId="0" fillId="0" borderId="0" xfId="0" applyFill="1" applyAlignment="1">
      <alignment horizontal="left" vertical="center"/>
    </xf>
    <xf numFmtId="0" fontId="0" fillId="0" borderId="0" xfId="0" applyAlignment="1">
      <alignment horizontal="center" vertical="center"/>
    </xf>
    <xf numFmtId="0" fontId="0" fillId="0" borderId="12" xfId="0" applyFill="1" applyBorder="1" applyAlignment="1">
      <alignment vertical="center"/>
    </xf>
    <xf numFmtId="0" fontId="0" fillId="0" borderId="13" xfId="0" applyFill="1" applyBorder="1" applyAlignment="1">
      <alignment horizontal="center" vertical="center"/>
    </xf>
    <xf numFmtId="0" fontId="0" fillId="0" borderId="24" xfId="0" applyFill="1" applyBorder="1" applyAlignment="1">
      <alignment vertical="center"/>
    </xf>
    <xf numFmtId="0" fontId="0" fillId="0" borderId="11" xfId="0" applyFill="1" applyBorder="1" applyAlignment="1">
      <alignment horizontal="center" vertical="center"/>
    </xf>
    <xf numFmtId="0" fontId="0" fillId="0" borderId="0" xfId="0" applyBorder="1" applyAlignment="1">
      <alignment vertical="center"/>
    </xf>
    <xf numFmtId="2" fontId="0" fillId="0" borderId="12" xfId="0" applyNumberFormat="1" applyFill="1" applyBorder="1" applyAlignment="1">
      <alignment horizontal="center" vertical="center"/>
    </xf>
    <xf numFmtId="0" fontId="0" fillId="0" borderId="25"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26" xfId="0" applyFill="1" applyBorder="1" applyAlignment="1">
      <alignment horizontal="center" vertical="center"/>
    </xf>
    <xf numFmtId="43" fontId="20" fillId="0" borderId="13" xfId="45" applyFont="1" applyFill="1" applyBorder="1" applyAlignment="1">
      <alignment horizontal="center" vertical="center" wrapText="1"/>
    </xf>
    <xf numFmtId="0" fontId="0" fillId="0" borderId="27" xfId="0" applyFill="1" applyBorder="1" applyAlignment="1">
      <alignment vertical="center"/>
    </xf>
    <xf numFmtId="0" fontId="0" fillId="0" borderId="28" xfId="0" applyFill="1" applyBorder="1" applyAlignment="1">
      <alignment horizontal="center" vertical="center"/>
    </xf>
    <xf numFmtId="0" fontId="0" fillId="0" borderId="29" xfId="0" applyFill="1" applyBorder="1" applyAlignment="1">
      <alignment vertical="center"/>
    </xf>
    <xf numFmtId="0" fontId="24" fillId="0" borderId="28" xfId="0" applyFont="1" applyFill="1" applyBorder="1" applyAlignment="1">
      <alignment horizontal="center" vertical="center"/>
    </xf>
    <xf numFmtId="0" fontId="24" fillId="0" borderId="29" xfId="0" applyFont="1" applyFill="1" applyBorder="1" applyAlignment="1">
      <alignment vertical="center"/>
    </xf>
    <xf numFmtId="0" fontId="17" fillId="0" borderId="30" xfId="0" applyFont="1" applyFill="1" applyBorder="1" applyAlignment="1">
      <alignment horizontal="center" vertical="center"/>
    </xf>
    <xf numFmtId="43" fontId="0" fillId="0" borderId="31" xfId="45" applyFont="1" applyFill="1" applyBorder="1" applyAlignment="1">
      <alignment horizontal="center" vertical="center"/>
    </xf>
    <xf numFmtId="43" fontId="24" fillId="0" borderId="28" xfId="45" applyFont="1" applyFill="1" applyBorder="1" applyAlignment="1">
      <alignment horizontal="center" vertical="center"/>
    </xf>
    <xf numFmtId="43" fontId="17" fillId="0" borderId="30" xfId="45" applyFont="1" applyFill="1" applyBorder="1" applyAlignment="1">
      <alignment horizontal="center" vertical="center"/>
    </xf>
    <xf numFmtId="43" fontId="0" fillId="0" borderId="27" xfId="45" applyFont="1" applyFill="1" applyBorder="1" applyAlignment="1">
      <alignment vertical="center"/>
    </xf>
    <xf numFmtId="43" fontId="24" fillId="0" borderId="29" xfId="45" applyFont="1" applyFill="1" applyBorder="1" applyAlignment="1">
      <alignment vertical="center"/>
    </xf>
    <xf numFmtId="43" fontId="0" fillId="0" borderId="28" xfId="45" applyFont="1" applyFill="1" applyBorder="1" applyAlignment="1">
      <alignment horizontal="center" vertical="center"/>
    </xf>
    <xf numFmtId="43" fontId="0" fillId="0" borderId="0" xfId="45" applyFont="1" applyFill="1" applyBorder="1" applyAlignment="1">
      <alignment vertical="center"/>
    </xf>
    <xf numFmtId="43" fontId="17" fillId="0" borderId="25" xfId="45" applyFont="1" applyFill="1" applyBorder="1" applyAlignment="1">
      <alignment horizontal="center" vertical="center"/>
    </xf>
    <xf numFmtId="0" fontId="16" fillId="0" borderId="32" xfId="0" applyFont="1" applyFill="1" applyBorder="1" applyAlignment="1">
      <alignment horizontal="left" vertical="center"/>
    </xf>
    <xf numFmtId="0" fontId="0" fillId="0" borderId="33" xfId="0" applyFill="1" applyBorder="1" applyAlignment="1">
      <alignment vertical="center"/>
    </xf>
    <xf numFmtId="0" fontId="0" fillId="0" borderId="32" xfId="0" applyFill="1" applyBorder="1" applyAlignment="1">
      <alignment vertical="center"/>
    </xf>
    <xf numFmtId="0" fontId="0" fillId="0" borderId="32" xfId="0" applyFill="1" applyBorder="1" applyAlignment="1">
      <alignment vertical="center" wrapText="1"/>
    </xf>
    <xf numFmtId="0" fontId="24" fillId="0" borderId="34" xfId="0" applyFont="1" applyFill="1" applyBorder="1" applyAlignment="1">
      <alignment vertical="center"/>
    </xf>
    <xf numFmtId="0" fontId="24" fillId="0" borderId="21" xfId="0" applyFont="1" applyFill="1" applyBorder="1" applyAlignment="1">
      <alignment vertical="center"/>
    </xf>
    <xf numFmtId="0" fontId="24" fillId="0" borderId="32" xfId="0" applyFont="1" applyFill="1" applyBorder="1" applyAlignment="1">
      <alignment vertical="center"/>
    </xf>
    <xf numFmtId="0" fontId="17" fillId="0" borderId="35" xfId="0" applyFont="1" applyFill="1" applyBorder="1" applyAlignment="1">
      <alignment horizontal="center" vertical="center"/>
    </xf>
    <xf numFmtId="43" fontId="17" fillId="0" borderId="36" xfId="45" applyFont="1" applyFill="1" applyBorder="1" applyAlignment="1">
      <alignment horizontal="center" vertical="center"/>
    </xf>
    <xf numFmtId="0" fontId="17" fillId="0" borderId="37" xfId="0" applyFont="1" applyFill="1" applyBorder="1" applyAlignment="1">
      <alignment horizontal="right" vertical="center"/>
    </xf>
    <xf numFmtId="0" fontId="17" fillId="0" borderId="35" xfId="0" applyFont="1" applyFill="1" applyBorder="1" applyAlignment="1">
      <alignment horizontal="right" vertical="center"/>
    </xf>
    <xf numFmtId="0" fontId="0" fillId="0" borderId="30" xfId="0" applyFill="1" applyBorder="1" applyAlignment="1">
      <alignment horizontal="center" vertical="center"/>
    </xf>
    <xf numFmtId="43" fontId="26" fillId="0" borderId="0" xfId="0" applyNumberFormat="1" applyFont="1" applyFill="1" applyBorder="1" applyAlignment="1">
      <alignment vertical="center"/>
    </xf>
    <xf numFmtId="0" fontId="27" fillId="0" borderId="0" xfId="0" applyFont="1" applyFill="1" applyAlignment="1">
      <alignment vertical="center"/>
    </xf>
    <xf numFmtId="43" fontId="27" fillId="0" borderId="28" xfId="0" applyNumberFormat="1" applyFont="1" applyFill="1" applyBorder="1" applyAlignment="1">
      <alignment vertical="center"/>
    </xf>
    <xf numFmtId="0" fontId="30" fillId="0" borderId="0" xfId="0" applyFont="1" applyAlignment="1">
      <alignment vertical="center"/>
    </xf>
    <xf numFmtId="43" fontId="30" fillId="0" borderId="0" xfId="45" applyFont="1" applyAlignment="1">
      <alignment vertical="center"/>
    </xf>
    <xf numFmtId="0" fontId="5" fillId="0" borderId="0" xfId="0" applyFont="1" applyAlignment="1">
      <alignment vertical="center"/>
    </xf>
    <xf numFmtId="0" fontId="30" fillId="0" borderId="28" xfId="0" applyFont="1" applyBorder="1" applyAlignment="1">
      <alignment vertical="center"/>
    </xf>
    <xf numFmtId="43" fontId="30" fillId="0" borderId="28" xfId="45" applyFont="1" applyBorder="1" applyAlignment="1">
      <alignment vertical="center"/>
    </xf>
    <xf numFmtId="0" fontId="5" fillId="4" borderId="38" xfId="0" applyFont="1" applyFill="1" applyBorder="1" applyAlignment="1">
      <alignment vertical="center"/>
    </xf>
    <xf numFmtId="43" fontId="5" fillId="4" borderId="39" xfId="45" applyFont="1" applyFill="1" applyBorder="1" applyAlignment="1">
      <alignment vertical="center"/>
    </xf>
    <xf numFmtId="0" fontId="5" fillId="32" borderId="38" xfId="0" applyFont="1" applyFill="1" applyBorder="1" applyAlignment="1">
      <alignment vertical="center"/>
    </xf>
    <xf numFmtId="43" fontId="5" fillId="32" borderId="39" xfId="45" applyFont="1" applyFill="1" applyBorder="1" applyAlignment="1">
      <alignment vertical="center"/>
    </xf>
    <xf numFmtId="43" fontId="16" fillId="0" borderId="28" xfId="45" applyFont="1" applyFill="1" applyBorder="1" applyAlignment="1">
      <alignment horizontal="center" vertical="center"/>
    </xf>
    <xf numFmtId="43" fontId="20" fillId="0" borderId="40" xfId="45" applyFont="1" applyFill="1" applyBorder="1" applyAlignment="1">
      <alignment horizontal="center" vertical="center" wrapText="1"/>
    </xf>
    <xf numFmtId="43" fontId="20" fillId="0" borderId="14" xfId="45" applyFont="1" applyFill="1" applyBorder="1" applyAlignment="1">
      <alignment horizontal="center" vertical="center" wrapText="1"/>
    </xf>
    <xf numFmtId="43" fontId="22" fillId="0" borderId="30" xfId="45" applyFont="1" applyFill="1" applyBorder="1" applyAlignment="1">
      <alignment horizontal="center" vertical="center" wrapText="1"/>
    </xf>
    <xf numFmtId="43" fontId="22" fillId="0" borderId="36" xfId="45" applyFont="1" applyFill="1" applyBorder="1" applyAlignment="1">
      <alignment horizontal="center" vertical="center" wrapText="1"/>
    </xf>
    <xf numFmtId="43" fontId="22" fillId="0" borderId="41" xfId="45" applyFont="1" applyFill="1" applyBorder="1" applyAlignment="1">
      <alignment horizontal="center" vertical="center" wrapText="1"/>
    </xf>
    <xf numFmtId="43" fontId="0" fillId="0" borderId="13" xfId="0" applyNumberFormat="1" applyFill="1" applyBorder="1" applyAlignment="1">
      <alignment vertical="center"/>
    </xf>
    <xf numFmtId="43" fontId="6" fillId="0" borderId="13" xfId="45" applyFont="1" applyFill="1" applyBorder="1" applyAlignment="1">
      <alignment horizontal="center" vertical="center"/>
    </xf>
    <xf numFmtId="43" fontId="6" fillId="0" borderId="40" xfId="45" applyFont="1" applyFill="1" applyBorder="1" applyAlignment="1">
      <alignment horizontal="center" vertical="center"/>
    </xf>
    <xf numFmtId="43" fontId="21" fillId="0" borderId="11" xfId="45" applyFont="1" applyFill="1" applyBorder="1" applyAlignment="1">
      <alignment horizontal="center" vertical="center" wrapText="1"/>
    </xf>
    <xf numFmtId="43" fontId="21" fillId="0" borderId="10" xfId="45" applyFont="1" applyFill="1" applyBorder="1" applyAlignment="1">
      <alignment horizontal="center" vertical="center" wrapText="1"/>
    </xf>
    <xf numFmtId="43" fontId="26" fillId="0" borderId="28" xfId="0" applyNumberFormat="1" applyFont="1" applyFill="1" applyBorder="1" applyAlignment="1">
      <alignment vertical="center"/>
    </xf>
    <xf numFmtId="0" fontId="27" fillId="0" borderId="42" xfId="0" applyFont="1" applyFill="1" applyBorder="1" applyAlignment="1">
      <alignment vertical="center"/>
    </xf>
    <xf numFmtId="0" fontId="27" fillId="0" borderId="26" xfId="0" applyFont="1" applyFill="1" applyBorder="1" applyAlignment="1">
      <alignment vertical="center"/>
    </xf>
    <xf numFmtId="43" fontId="6" fillId="0" borderId="43" xfId="45" applyFont="1" applyFill="1" applyBorder="1" applyAlignment="1">
      <alignment horizontal="center" vertical="center"/>
    </xf>
    <xf numFmtId="43" fontId="0" fillId="0" borderId="0" xfId="45" applyFont="1" applyFill="1" applyBorder="1" applyAlignment="1">
      <alignment horizontal="center" vertical="center"/>
    </xf>
    <xf numFmtId="43" fontId="20" fillId="0" borderId="43" xfId="45" applyFont="1" applyFill="1" applyBorder="1" applyAlignment="1">
      <alignment horizontal="center" vertical="center" wrapText="1"/>
    </xf>
    <xf numFmtId="43" fontId="0" fillId="0" borderId="31" xfId="45" applyFont="1" applyFill="1" applyBorder="1" applyAlignment="1">
      <alignment vertical="center"/>
    </xf>
    <xf numFmtId="43" fontId="22" fillId="0" borderId="44" xfId="45" applyFont="1" applyFill="1" applyBorder="1" applyAlignment="1">
      <alignment horizontal="center" vertical="center" wrapText="1"/>
    </xf>
    <xf numFmtId="43" fontId="0" fillId="0" borderId="45" xfId="45" applyFont="1" applyFill="1" applyBorder="1" applyAlignment="1">
      <alignment vertical="center"/>
    </xf>
    <xf numFmtId="43" fontId="22" fillId="0" borderId="46" xfId="45" applyFont="1" applyFill="1" applyBorder="1" applyAlignment="1">
      <alignment horizontal="center" vertical="center" wrapText="1"/>
    </xf>
    <xf numFmtId="0" fontId="17" fillId="0" borderId="47" xfId="0" applyFont="1" applyFill="1" applyBorder="1" applyAlignment="1">
      <alignment horizontal="left" vertical="center"/>
    </xf>
    <xf numFmtId="43" fontId="20" fillId="0" borderId="31" xfId="45" applyFont="1" applyFill="1" applyBorder="1" applyAlignment="1">
      <alignment horizontal="center" vertical="center" wrapText="1"/>
    </xf>
    <xf numFmtId="0" fontId="0" fillId="0" borderId="19" xfId="0" applyFill="1" applyBorder="1" applyAlignment="1">
      <alignment vertical="center"/>
    </xf>
    <xf numFmtId="43" fontId="22" fillId="0" borderId="48" xfId="45" applyFont="1" applyFill="1" applyBorder="1" applyAlignment="1">
      <alignment horizontal="center" vertical="center" wrapText="1"/>
    </xf>
    <xf numFmtId="43" fontId="22" fillId="0" borderId="49" xfId="45" applyFont="1" applyFill="1" applyBorder="1" applyAlignment="1">
      <alignment horizontal="center" vertical="center" wrapText="1"/>
    </xf>
    <xf numFmtId="0" fontId="17" fillId="0" borderId="50" xfId="0" applyFont="1" applyBorder="1" applyAlignment="1">
      <alignment horizontal="center" vertical="center" wrapText="1"/>
    </xf>
    <xf numFmtId="43" fontId="0" fillId="0" borderId="43" xfId="0" applyNumberFormat="1" applyFill="1" applyBorder="1" applyAlignment="1">
      <alignment vertical="center"/>
    </xf>
    <xf numFmtId="0" fontId="0" fillId="0" borderId="51" xfId="0" applyFill="1" applyBorder="1" applyAlignment="1">
      <alignment vertical="center"/>
    </xf>
    <xf numFmtId="43" fontId="0" fillId="0" borderId="43" xfId="45" applyFont="1" applyFill="1" applyBorder="1" applyAlignment="1">
      <alignment horizontal="center" vertical="center"/>
    </xf>
    <xf numFmtId="43" fontId="24" fillId="0" borderId="42" xfId="45" applyFont="1" applyFill="1" applyBorder="1" applyAlignment="1">
      <alignment horizontal="center" vertical="center"/>
    </xf>
    <xf numFmtId="43" fontId="16" fillId="0" borderId="42" xfId="45" applyFont="1" applyFill="1" applyBorder="1" applyAlignment="1">
      <alignment horizontal="center" vertical="center"/>
    </xf>
    <xf numFmtId="43" fontId="17" fillId="0" borderId="44" xfId="45" applyFont="1" applyFill="1" applyBorder="1" applyAlignment="1">
      <alignment horizontal="center" vertical="center"/>
    </xf>
    <xf numFmtId="0" fontId="0" fillId="0" borderId="12" xfId="0" applyBorder="1" applyAlignment="1">
      <alignment vertical="center"/>
    </xf>
    <xf numFmtId="0" fontId="0" fillId="0" borderId="11" xfId="0" applyBorder="1" applyAlignment="1">
      <alignment vertical="center"/>
    </xf>
    <xf numFmtId="0" fontId="0" fillId="0" borderId="11" xfId="0" applyFill="1" applyBorder="1" applyAlignment="1">
      <alignment vertical="center"/>
    </xf>
    <xf numFmtId="0" fontId="0" fillId="0" borderId="28" xfId="0" applyBorder="1" applyAlignment="1">
      <alignment vertical="center"/>
    </xf>
    <xf numFmtId="0" fontId="0" fillId="0" borderId="19" xfId="0" applyBorder="1" applyAlignment="1">
      <alignment vertical="center"/>
    </xf>
    <xf numFmtId="0" fontId="0" fillId="0" borderId="52" xfId="0" applyBorder="1" applyAlignment="1">
      <alignment vertical="center"/>
    </xf>
    <xf numFmtId="2" fontId="0" fillId="0" borderId="0" xfId="0" applyNumberFormat="1" applyFill="1" applyBorder="1" applyAlignment="1">
      <alignment horizontal="center" vertical="center"/>
    </xf>
    <xf numFmtId="2" fontId="0" fillId="0" borderId="51" xfId="0" applyNumberFormat="1" applyFill="1" applyBorder="1" applyAlignment="1">
      <alignment horizontal="center" vertical="center"/>
    </xf>
    <xf numFmtId="43" fontId="0" fillId="0" borderId="42" xfId="45" applyFont="1" applyFill="1" applyBorder="1" applyAlignment="1">
      <alignment horizontal="center" vertical="center"/>
    </xf>
    <xf numFmtId="43" fontId="17" fillId="0" borderId="53" xfId="45" applyFont="1" applyFill="1" applyBorder="1" applyAlignment="1">
      <alignment horizontal="center" vertical="center"/>
    </xf>
    <xf numFmtId="43" fontId="30" fillId="0" borderId="0" xfId="45" applyFont="1" applyFill="1" applyAlignment="1">
      <alignment vertical="center"/>
    </xf>
    <xf numFmtId="0" fontId="30" fillId="0" borderId="0" xfId="0" applyFont="1" applyFill="1" applyAlignment="1">
      <alignment vertical="center"/>
    </xf>
    <xf numFmtId="43" fontId="30" fillId="0" borderId="28" xfId="45" applyFont="1" applyFill="1" applyBorder="1" applyAlignment="1">
      <alignment vertical="center"/>
    </xf>
    <xf numFmtId="0" fontId="31" fillId="0" borderId="0" xfId="0" applyFont="1" applyFill="1" applyAlignment="1">
      <alignment vertical="center"/>
    </xf>
    <xf numFmtId="43" fontId="31" fillId="0" borderId="28" xfId="0" applyNumberFormat="1" applyFont="1" applyFill="1" applyBorder="1" applyAlignment="1">
      <alignment vertical="center"/>
    </xf>
    <xf numFmtId="0" fontId="0" fillId="0" borderId="28" xfId="0" applyFill="1" applyBorder="1" applyAlignment="1">
      <alignment vertical="center"/>
    </xf>
    <xf numFmtId="0" fontId="6" fillId="0" borderId="19" xfId="0" applyFont="1" applyFill="1" applyBorder="1" applyAlignment="1">
      <alignment vertical="center"/>
    </xf>
    <xf numFmtId="0" fontId="6" fillId="0" borderId="40" xfId="0" applyFont="1" applyFill="1" applyBorder="1" applyAlignment="1">
      <alignment vertical="center"/>
    </xf>
    <xf numFmtId="43" fontId="6" fillId="0" borderId="40" xfId="0" applyNumberFormat="1" applyFont="1" applyFill="1" applyBorder="1" applyAlignment="1">
      <alignment vertical="center"/>
    </xf>
    <xf numFmtId="43" fontId="0" fillId="0" borderId="54" xfId="0" applyNumberFormat="1" applyBorder="1" applyAlignment="1">
      <alignment vertical="center"/>
    </xf>
    <xf numFmtId="43" fontId="0" fillId="0" borderId="40" xfId="0" applyNumberFormat="1" applyBorder="1" applyAlignment="1">
      <alignment vertical="center"/>
    </xf>
    <xf numFmtId="43" fontId="0" fillId="0" borderId="40" xfId="45" applyFont="1" applyBorder="1" applyAlignment="1">
      <alignment vertical="center"/>
    </xf>
    <xf numFmtId="43" fontId="0" fillId="0" borderId="54" xfId="45" applyFont="1" applyBorder="1" applyAlignment="1">
      <alignment vertical="center"/>
    </xf>
    <xf numFmtId="43" fontId="20" fillId="0" borderId="27" xfId="45" applyFont="1" applyFill="1" applyBorder="1" applyAlignment="1">
      <alignment horizontal="center" vertical="center" wrapText="1"/>
    </xf>
    <xf numFmtId="43" fontId="27" fillId="0" borderId="0" xfId="0" applyNumberFormat="1" applyFont="1" applyFill="1" applyBorder="1" applyAlignment="1">
      <alignment vertical="center"/>
    </xf>
    <xf numFmtId="43" fontId="31" fillId="0" borderId="0" xfId="0" applyNumberFormat="1" applyFont="1" applyFill="1" applyBorder="1" applyAlignment="1">
      <alignment vertical="center"/>
    </xf>
    <xf numFmtId="43" fontId="0" fillId="0" borderId="12" xfId="45" applyFont="1" applyFill="1" applyBorder="1" applyAlignment="1">
      <alignment horizontal="center" vertical="center"/>
    </xf>
    <xf numFmtId="0" fontId="27" fillId="0" borderId="0" xfId="0" applyFont="1" applyFill="1" applyBorder="1" applyAlignment="1">
      <alignment vertical="center"/>
    </xf>
    <xf numFmtId="0" fontId="30" fillId="0" borderId="18" xfId="0" applyFont="1" applyFill="1" applyBorder="1" applyAlignment="1">
      <alignment vertical="center" wrapText="1"/>
    </xf>
    <xf numFmtId="0" fontId="30" fillId="0" borderId="18" xfId="0" applyFont="1" applyFill="1" applyBorder="1" applyAlignment="1">
      <alignment vertical="center"/>
    </xf>
    <xf numFmtId="43" fontId="33" fillId="0" borderId="28" xfId="45" applyFont="1" applyFill="1" applyBorder="1" applyAlignment="1">
      <alignment horizontal="center" vertical="center"/>
    </xf>
    <xf numFmtId="43" fontId="30" fillId="0" borderId="13" xfId="45" applyFont="1" applyFill="1" applyBorder="1" applyAlignment="1">
      <alignment horizontal="center" vertical="center"/>
    </xf>
    <xf numFmtId="0" fontId="32" fillId="0" borderId="55" xfId="0" applyFont="1" applyFill="1" applyBorder="1" applyAlignment="1">
      <alignment horizontal="center" vertical="center" wrapText="1"/>
    </xf>
    <xf numFmtId="0" fontId="32" fillId="0" borderId="45" xfId="0" applyFont="1" applyFill="1" applyBorder="1" applyAlignment="1">
      <alignment horizontal="center" vertical="center" wrapText="1"/>
    </xf>
    <xf numFmtId="0" fontId="32" fillId="0" borderId="56" xfId="0" applyFont="1" applyFill="1" applyBorder="1" applyAlignment="1">
      <alignment horizontal="center" vertical="center" wrapText="1"/>
    </xf>
    <xf numFmtId="0" fontId="32" fillId="0" borderId="57" xfId="0" applyFont="1" applyFill="1" applyBorder="1" applyAlignment="1">
      <alignment horizontal="center" vertical="center" wrapText="1"/>
    </xf>
    <xf numFmtId="0" fontId="7" fillId="0" borderId="0" xfId="0" applyFont="1" applyFill="1" applyAlignment="1">
      <alignment vertical="center"/>
    </xf>
    <xf numFmtId="0" fontId="7" fillId="0" borderId="58" xfId="0" applyFont="1" applyFill="1" applyBorder="1" applyAlignment="1">
      <alignment horizontal="center" vertical="center"/>
    </xf>
    <xf numFmtId="43" fontId="7" fillId="0" borderId="49" xfId="45" applyFont="1" applyFill="1" applyBorder="1" applyAlignment="1">
      <alignment vertical="center"/>
    </xf>
    <xf numFmtId="43" fontId="7" fillId="0" borderId="59" xfId="45" applyFont="1" applyFill="1" applyBorder="1" applyAlignment="1">
      <alignment vertical="center"/>
    </xf>
    <xf numFmtId="43" fontId="33" fillId="0" borderId="54" xfId="45" applyFont="1" applyFill="1" applyBorder="1" applyAlignment="1">
      <alignment horizontal="center" vertical="center"/>
    </xf>
    <xf numFmtId="0" fontId="30" fillId="0" borderId="32" xfId="0" applyFont="1" applyFill="1" applyBorder="1" applyAlignment="1">
      <alignment vertical="center"/>
    </xf>
    <xf numFmtId="0" fontId="37" fillId="0" borderId="0" xfId="0" applyFont="1" applyFill="1" applyAlignment="1">
      <alignment vertical="center"/>
    </xf>
    <xf numFmtId="0" fontId="38" fillId="0" borderId="60" xfId="0" applyFont="1" applyFill="1" applyBorder="1" applyAlignment="1">
      <alignment horizontal="center" vertical="center"/>
    </xf>
    <xf numFmtId="43" fontId="38" fillId="0" borderId="49" xfId="45" applyFont="1" applyFill="1" applyBorder="1" applyAlignment="1">
      <alignment horizontal="center" vertical="center"/>
    </xf>
    <xf numFmtId="43" fontId="38" fillId="0" borderId="59" xfId="45" applyFont="1" applyFill="1" applyBorder="1" applyAlignment="1">
      <alignment horizontal="center" vertical="center"/>
    </xf>
    <xf numFmtId="0" fontId="7" fillId="0" borderId="61" xfId="0" applyFont="1" applyFill="1" applyBorder="1" applyAlignment="1">
      <alignment horizontal="center" vertical="center"/>
    </xf>
    <xf numFmtId="43" fontId="7" fillId="0" borderId="28" xfId="45" applyFont="1" applyFill="1" applyBorder="1" applyAlignment="1">
      <alignment horizontal="center" vertical="center"/>
    </xf>
    <xf numFmtId="43" fontId="7" fillId="0" borderId="54" xfId="45" applyFont="1" applyFill="1" applyBorder="1" applyAlignment="1">
      <alignment horizontal="center" vertical="center"/>
    </xf>
    <xf numFmtId="0" fontId="7" fillId="0" borderId="0" xfId="0" applyFont="1" applyFill="1" applyBorder="1" applyAlignment="1">
      <alignment vertical="center"/>
    </xf>
    <xf numFmtId="0" fontId="30" fillId="0" borderId="61" xfId="0" applyFont="1" applyFill="1" applyBorder="1" applyAlignment="1">
      <alignment horizontal="left" vertical="center"/>
    </xf>
    <xf numFmtId="43" fontId="30" fillId="4" borderId="28" xfId="0" applyNumberFormat="1" applyFont="1" applyFill="1" applyBorder="1" applyAlignment="1" applyProtection="1">
      <alignment horizontal="center" vertical="center"/>
      <protection locked="0"/>
    </xf>
    <xf numFmtId="43" fontId="30" fillId="4" borderId="54" xfId="0" applyNumberFormat="1" applyFont="1" applyFill="1" applyBorder="1" applyAlignment="1" applyProtection="1">
      <alignment horizontal="center" vertical="center"/>
      <protection locked="0"/>
    </xf>
    <xf numFmtId="0" fontId="35" fillId="0" borderId="0" xfId="0" applyFont="1" applyFill="1" applyAlignment="1">
      <alignment vertical="center"/>
    </xf>
    <xf numFmtId="0" fontId="35" fillId="0" borderId="61" xfId="0" applyFont="1" applyFill="1" applyBorder="1" applyAlignment="1">
      <alignment horizontal="left" vertical="center"/>
    </xf>
    <xf numFmtId="43" fontId="35" fillId="4" borderId="28" xfId="0" applyNumberFormat="1" applyFont="1" applyFill="1" applyBorder="1" applyAlignment="1" applyProtection="1">
      <alignment horizontal="center" vertical="center"/>
      <protection locked="0"/>
    </xf>
    <xf numFmtId="43" fontId="35" fillId="4" borderId="54" xfId="0" applyNumberFormat="1" applyFont="1" applyFill="1" applyBorder="1" applyAlignment="1" applyProtection="1">
      <alignment horizontal="center" vertical="center"/>
      <protection locked="0"/>
    </xf>
    <xf numFmtId="43" fontId="30" fillId="4" borderId="13" xfId="45" applyFont="1" applyFill="1" applyBorder="1" applyAlignment="1" applyProtection="1">
      <alignment horizontal="center" vertical="center"/>
      <protection locked="0"/>
    </xf>
    <xf numFmtId="43" fontId="30" fillId="4" borderId="40" xfId="45" applyFont="1" applyFill="1" applyBorder="1" applyAlignment="1" applyProtection="1">
      <alignment horizontal="center" vertical="center"/>
      <protection locked="0"/>
    </xf>
    <xf numFmtId="43" fontId="33" fillId="4" borderId="28" xfId="45" applyFont="1" applyFill="1" applyBorder="1" applyAlignment="1" applyProtection="1">
      <alignment horizontal="center" vertical="center"/>
      <protection locked="0"/>
    </xf>
    <xf numFmtId="43" fontId="33" fillId="4" borderId="54" xfId="45" applyFont="1" applyFill="1" applyBorder="1" applyAlignment="1" applyProtection="1">
      <alignment horizontal="center" vertical="center"/>
      <protection locked="0"/>
    </xf>
    <xf numFmtId="43" fontId="30" fillId="4" borderId="13" xfId="45" applyFont="1" applyFill="1" applyBorder="1" applyAlignment="1">
      <alignment horizontal="center" vertical="center"/>
    </xf>
    <xf numFmtId="43" fontId="30" fillId="4" borderId="28" xfId="45" applyFont="1" applyFill="1" applyBorder="1" applyAlignment="1" applyProtection="1">
      <alignment horizontal="center" vertical="center"/>
      <protection locked="0"/>
    </xf>
    <xf numFmtId="43" fontId="30" fillId="4" borderId="54" xfId="45" applyFont="1" applyFill="1" applyBorder="1" applyAlignment="1" applyProtection="1">
      <alignment horizontal="center" vertical="center"/>
      <protection locked="0"/>
    </xf>
    <xf numFmtId="43" fontId="39" fillId="0" borderId="28" xfId="45" applyFont="1" applyFill="1" applyBorder="1" applyAlignment="1" applyProtection="1">
      <alignment horizontal="center" vertical="center"/>
      <protection locked="0"/>
    </xf>
    <xf numFmtId="43" fontId="30" fillId="4" borderId="13" xfId="45" applyFont="1" applyFill="1" applyBorder="1" applyAlignment="1" applyProtection="1">
      <alignment horizontal="center" vertical="center"/>
      <protection locked="0"/>
    </xf>
    <xf numFmtId="43" fontId="30" fillId="4" borderId="43" xfId="45" applyFont="1" applyFill="1" applyBorder="1" applyAlignment="1" applyProtection="1">
      <alignment horizontal="center" vertical="center"/>
      <protection locked="0"/>
    </xf>
    <xf numFmtId="43" fontId="30" fillId="4" borderId="40" xfId="45" applyFont="1" applyFill="1" applyBorder="1" applyAlignment="1" applyProtection="1">
      <alignment vertical="center"/>
      <protection locked="0"/>
    </xf>
    <xf numFmtId="43" fontId="33" fillId="4" borderId="28" xfId="45" applyFont="1" applyFill="1" applyBorder="1" applyAlignment="1">
      <alignment horizontal="center" vertical="center"/>
    </xf>
    <xf numFmtId="43" fontId="33" fillId="4" borderId="54" xfId="45" applyFont="1" applyFill="1" applyBorder="1" applyAlignment="1">
      <alignment horizontal="center" vertical="center"/>
    </xf>
    <xf numFmtId="43" fontId="30" fillId="0" borderId="28" xfId="0" applyNumberFormat="1" applyFont="1" applyFill="1" applyBorder="1" applyAlignment="1" applyProtection="1">
      <alignment horizontal="center" vertical="center"/>
      <protection locked="0"/>
    </xf>
    <xf numFmtId="0" fontId="34" fillId="0" borderId="0" xfId="0" applyFont="1" applyFill="1" applyAlignment="1">
      <alignment vertical="center"/>
    </xf>
    <xf numFmtId="0" fontId="34" fillId="0" borderId="61" xfId="0" applyFont="1" applyFill="1" applyBorder="1" applyAlignment="1">
      <alignment horizontal="left" vertical="center"/>
    </xf>
    <xf numFmtId="0" fontId="34" fillId="0" borderId="18" xfId="0" applyFont="1" applyFill="1" applyBorder="1" applyAlignment="1">
      <alignment horizontal="left" vertical="center"/>
    </xf>
    <xf numFmtId="43" fontId="34" fillId="0" borderId="13" xfId="0" applyNumberFormat="1" applyFont="1" applyFill="1" applyBorder="1" applyAlignment="1" applyProtection="1">
      <alignment horizontal="center" vertical="center"/>
      <protection locked="0"/>
    </xf>
    <xf numFmtId="43" fontId="30" fillId="0" borderId="13" xfId="45" applyFont="1" applyFill="1" applyBorder="1" applyAlignment="1" applyProtection="1">
      <alignment horizontal="center" vertical="center"/>
      <protection locked="0"/>
    </xf>
    <xf numFmtId="43" fontId="33" fillId="0" borderId="28" xfId="45" applyFont="1" applyFill="1" applyBorder="1" applyAlignment="1" applyProtection="1">
      <alignment horizontal="center" vertical="center"/>
      <protection locked="0"/>
    </xf>
    <xf numFmtId="43" fontId="30" fillId="0" borderId="13" xfId="45" applyFont="1" applyFill="1" applyBorder="1" applyAlignment="1" applyProtection="1">
      <alignment horizontal="center" vertical="center"/>
      <protection locked="0"/>
    </xf>
    <xf numFmtId="43" fontId="40" fillId="0" borderId="13" xfId="45" applyFont="1" applyFill="1" applyBorder="1" applyAlignment="1" applyProtection="1">
      <alignment horizontal="center" vertical="center"/>
      <protection locked="0"/>
    </xf>
    <xf numFmtId="0" fontId="35" fillId="0" borderId="18" xfId="0" applyFont="1" applyFill="1" applyBorder="1" applyAlignment="1">
      <alignment vertical="center"/>
    </xf>
    <xf numFmtId="43" fontId="35" fillId="0" borderId="13" xfId="45" applyFont="1" applyFill="1" applyBorder="1" applyAlignment="1" applyProtection="1">
      <alignment horizontal="center" vertical="center"/>
      <protection locked="0"/>
    </xf>
    <xf numFmtId="43" fontId="35" fillId="0" borderId="43" xfId="45" applyFont="1" applyFill="1" applyBorder="1" applyAlignment="1" applyProtection="1">
      <alignment horizontal="center" vertical="center"/>
      <protection locked="0"/>
    </xf>
    <xf numFmtId="43" fontId="35" fillId="0" borderId="40" xfId="45" applyFont="1" applyFill="1" applyBorder="1" applyAlignment="1" applyProtection="1">
      <alignment vertical="center"/>
      <protection locked="0"/>
    </xf>
    <xf numFmtId="43" fontId="33" fillId="0" borderId="13" xfId="45" applyFont="1" applyFill="1" applyBorder="1" applyAlignment="1" applyProtection="1">
      <alignment horizontal="center" vertical="center"/>
      <protection locked="0"/>
    </xf>
    <xf numFmtId="43" fontId="33" fillId="0" borderId="43" xfId="45" applyFont="1" applyFill="1" applyBorder="1" applyAlignment="1" applyProtection="1">
      <alignment horizontal="center" vertical="center"/>
      <protection locked="0"/>
    </xf>
    <xf numFmtId="43" fontId="30" fillId="0" borderId="40" xfId="45" applyFont="1" applyFill="1" applyBorder="1" applyAlignment="1" applyProtection="1">
      <alignment vertical="center"/>
      <protection locked="0"/>
    </xf>
    <xf numFmtId="43" fontId="31" fillId="33" borderId="28" xfId="45" applyFont="1" applyFill="1" applyBorder="1" applyAlignment="1" applyProtection="1">
      <alignment horizontal="center" vertical="center"/>
      <protection locked="0"/>
    </xf>
    <xf numFmtId="43" fontId="31" fillId="33" borderId="54" xfId="45" applyFont="1" applyFill="1" applyBorder="1" applyAlignment="1" applyProtection="1">
      <alignment horizontal="center" vertical="center"/>
      <protection locked="0"/>
    </xf>
    <xf numFmtId="43" fontId="0" fillId="0" borderId="0" xfId="0" applyNumberFormat="1" applyFill="1" applyAlignment="1">
      <alignment vertical="center"/>
    </xf>
    <xf numFmtId="43" fontId="30" fillId="34" borderId="28" xfId="45" applyFont="1" applyFill="1" applyBorder="1" applyAlignment="1">
      <alignment vertical="center"/>
    </xf>
    <xf numFmtId="0" fontId="3" fillId="0" borderId="0" xfId="0" applyFont="1" applyAlignment="1">
      <alignment vertical="center"/>
    </xf>
    <xf numFmtId="43" fontId="21" fillId="33" borderId="14" xfId="45" applyFont="1" applyFill="1" applyBorder="1" applyAlignment="1">
      <alignment vertical="center"/>
    </xf>
    <xf numFmtId="43" fontId="17" fillId="33" borderId="14" xfId="45" applyFont="1" applyFill="1" applyBorder="1" applyAlignment="1">
      <alignment vertical="center"/>
    </xf>
    <xf numFmtId="43" fontId="20" fillId="33" borderId="43" xfId="45"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Border="1" applyAlignment="1">
      <alignment vertical="center"/>
    </xf>
    <xf numFmtId="43" fontId="4" fillId="0" borderId="0" xfId="0" applyNumberFormat="1" applyFont="1" applyFill="1" applyBorder="1" applyAlignment="1">
      <alignment vertical="center"/>
    </xf>
    <xf numFmtId="0" fontId="0" fillId="0" borderId="0" xfId="0" applyAlignment="1">
      <alignment vertical="center" wrapText="1"/>
    </xf>
    <xf numFmtId="0" fontId="0" fillId="0" borderId="0" xfId="0" applyBorder="1" applyAlignment="1">
      <alignment vertical="center" wrapText="1"/>
    </xf>
    <xf numFmtId="0" fontId="4" fillId="0" borderId="0" xfId="0" applyFont="1" applyBorder="1" applyAlignment="1">
      <alignment vertical="center" wrapText="1"/>
    </xf>
    <xf numFmtId="0" fontId="0" fillId="0" borderId="0" xfId="0" applyFont="1" applyAlignment="1">
      <alignment vertical="center"/>
    </xf>
    <xf numFmtId="0" fontId="4" fillId="0" borderId="0" xfId="0" applyFont="1" applyBorder="1" applyAlignment="1">
      <alignment vertical="center"/>
    </xf>
    <xf numFmtId="43" fontId="30" fillId="0" borderId="54" xfId="0" applyNumberFormat="1" applyFont="1" applyFill="1" applyBorder="1" applyAlignment="1" applyProtection="1">
      <alignment horizontal="center" vertical="center"/>
      <protection locked="0"/>
    </xf>
    <xf numFmtId="43" fontId="34" fillId="0" borderId="40" xfId="0" applyNumberFormat="1" applyFont="1" applyFill="1" applyBorder="1" applyAlignment="1" applyProtection="1">
      <alignment horizontal="center" vertical="center"/>
      <protection locked="0"/>
    </xf>
    <xf numFmtId="43" fontId="30" fillId="0" borderId="40" xfId="45" applyFont="1" applyFill="1" applyBorder="1" applyAlignment="1" applyProtection="1">
      <alignment horizontal="center" vertical="center"/>
      <protection locked="0"/>
    </xf>
    <xf numFmtId="43" fontId="33" fillId="0" borderId="54" xfId="45" applyFont="1" applyFill="1" applyBorder="1" applyAlignment="1" applyProtection="1">
      <alignment horizontal="center" vertical="center"/>
      <protection locked="0"/>
    </xf>
    <xf numFmtId="43" fontId="30" fillId="0" borderId="40" xfId="45" applyFont="1" applyFill="1" applyBorder="1" applyAlignment="1" applyProtection="1">
      <alignment horizontal="center" vertical="center"/>
      <protection locked="0"/>
    </xf>
    <xf numFmtId="43" fontId="40" fillId="0" borderId="40" xfId="45" applyFont="1" applyFill="1" applyBorder="1" applyAlignment="1" applyProtection="1">
      <alignment horizontal="center" vertical="center"/>
      <protection locked="0"/>
    </xf>
    <xf numFmtId="43" fontId="20" fillId="0" borderId="23" xfId="45" applyFont="1" applyFill="1" applyBorder="1" applyAlignment="1">
      <alignment horizontal="center" vertical="center" wrapText="1"/>
    </xf>
    <xf numFmtId="43" fontId="20" fillId="0" borderId="62" xfId="45" applyFont="1" applyFill="1" applyBorder="1" applyAlignment="1">
      <alignment horizontal="center" vertical="center" wrapText="1"/>
    </xf>
    <xf numFmtId="43" fontId="20" fillId="0" borderId="63" xfId="45" applyFont="1" applyFill="1" applyBorder="1" applyAlignment="1">
      <alignment horizontal="center" vertical="center" wrapText="1"/>
    </xf>
    <xf numFmtId="43" fontId="22" fillId="0" borderId="47" xfId="45" applyFont="1" applyFill="1" applyBorder="1" applyAlignment="1">
      <alignment horizontal="center" vertical="center" wrapText="1"/>
    </xf>
    <xf numFmtId="43" fontId="22" fillId="0" borderId="64" xfId="45" applyFont="1" applyFill="1" applyBorder="1" applyAlignment="1">
      <alignment horizontal="center" vertical="center" wrapText="1"/>
    </xf>
    <xf numFmtId="0" fontId="0" fillId="0" borderId="0" xfId="0" applyFont="1" applyAlignment="1">
      <alignment vertical="center" wrapText="1"/>
    </xf>
    <xf numFmtId="43" fontId="0" fillId="0" borderId="0" xfId="45" applyFont="1" applyFill="1" applyAlignment="1">
      <alignment vertical="center"/>
    </xf>
    <xf numFmtId="0" fontId="32" fillId="0" borderId="65"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50" xfId="0" applyFont="1" applyFill="1" applyBorder="1" applyAlignment="1">
      <alignment horizontal="center" vertical="center" wrapText="1"/>
    </xf>
    <xf numFmtId="0" fontId="32" fillId="0" borderId="16" xfId="0" applyFont="1" applyFill="1" applyBorder="1" applyAlignment="1">
      <alignment horizontal="center" vertical="center" wrapText="1"/>
    </xf>
    <xf numFmtId="43" fontId="30" fillId="4" borderId="42" xfId="0" applyNumberFormat="1" applyFont="1" applyFill="1" applyBorder="1" applyAlignment="1" applyProtection="1">
      <alignment horizontal="center" vertical="center"/>
      <protection locked="0"/>
    </xf>
    <xf numFmtId="43" fontId="35" fillId="4" borderId="42" xfId="0" applyNumberFormat="1" applyFont="1" applyFill="1" applyBorder="1" applyAlignment="1" applyProtection="1">
      <alignment horizontal="center" vertical="center"/>
      <protection locked="0"/>
    </xf>
    <xf numFmtId="43" fontId="30" fillId="4" borderId="43" xfId="45" applyFont="1" applyFill="1" applyBorder="1" applyAlignment="1" applyProtection="1">
      <alignment horizontal="center" vertical="center"/>
      <protection locked="0"/>
    </xf>
    <xf numFmtId="43" fontId="33" fillId="4" borderId="42" xfId="45" applyFont="1" applyFill="1" applyBorder="1" applyAlignment="1" applyProtection="1">
      <alignment horizontal="center" vertical="center"/>
      <protection locked="0"/>
    </xf>
    <xf numFmtId="43" fontId="7" fillId="0" borderId="42" xfId="45" applyFont="1" applyFill="1" applyBorder="1" applyAlignment="1">
      <alignment horizontal="center" vertical="center"/>
    </xf>
    <xf numFmtId="43" fontId="7" fillId="0" borderId="66" xfId="45" applyFont="1" applyFill="1" applyBorder="1" applyAlignment="1">
      <alignment vertical="center"/>
    </xf>
    <xf numFmtId="43" fontId="30" fillId="4" borderId="43" xfId="45" applyFont="1" applyFill="1" applyBorder="1" applyAlignment="1">
      <alignment horizontal="center" vertical="center"/>
    </xf>
    <xf numFmtId="43" fontId="30" fillId="4" borderId="40" xfId="45" applyFont="1" applyFill="1" applyBorder="1" applyAlignment="1">
      <alignment horizontal="center" vertical="center"/>
    </xf>
    <xf numFmtId="43" fontId="30" fillId="0" borderId="42" xfId="0" applyNumberFormat="1" applyFont="1" applyFill="1" applyBorder="1" applyAlignment="1" applyProtection="1">
      <alignment horizontal="center" vertical="center"/>
      <protection locked="0"/>
    </xf>
    <xf numFmtId="43" fontId="39" fillId="0" borderId="42" xfId="45" applyFont="1" applyFill="1" applyBorder="1" applyAlignment="1" applyProtection="1">
      <alignment horizontal="center" vertical="center"/>
      <protection locked="0"/>
    </xf>
    <xf numFmtId="43" fontId="34" fillId="0" borderId="43" xfId="0" applyNumberFormat="1" applyFont="1" applyFill="1" applyBorder="1" applyAlignment="1" applyProtection="1">
      <alignment horizontal="center" vertical="center"/>
      <protection locked="0"/>
    </xf>
    <xf numFmtId="43" fontId="30" fillId="0" borderId="43" xfId="45" applyFont="1" applyFill="1" applyBorder="1" applyAlignment="1" applyProtection="1">
      <alignment horizontal="center" vertical="center"/>
      <protection locked="0"/>
    </xf>
    <xf numFmtId="43" fontId="33" fillId="0" borderId="42" xfId="45" applyFont="1" applyFill="1" applyBorder="1" applyAlignment="1" applyProtection="1">
      <alignment horizontal="center" vertical="center"/>
      <protection locked="0"/>
    </xf>
    <xf numFmtId="43" fontId="30" fillId="0" borderId="43" xfId="45" applyFont="1" applyFill="1" applyBorder="1" applyAlignment="1" applyProtection="1">
      <alignment horizontal="center" vertical="center"/>
      <protection locked="0"/>
    </xf>
    <xf numFmtId="43" fontId="30" fillId="0" borderId="43" xfId="45" applyFont="1" applyFill="1" applyBorder="1" applyAlignment="1" applyProtection="1">
      <alignment vertical="center"/>
      <protection locked="0"/>
    </xf>
    <xf numFmtId="43" fontId="40" fillId="0" borderId="43" xfId="45" applyFont="1" applyFill="1" applyBorder="1" applyAlignment="1" applyProtection="1">
      <alignment horizontal="center" vertical="center"/>
      <protection locked="0"/>
    </xf>
    <xf numFmtId="43" fontId="30" fillId="0" borderId="40" xfId="45" applyFont="1" applyFill="1" applyBorder="1" applyAlignment="1">
      <alignment horizontal="center" vertical="center"/>
    </xf>
    <xf numFmtId="0" fontId="0" fillId="0" borderId="67" xfId="0" applyFill="1" applyBorder="1" applyAlignment="1">
      <alignment vertical="center"/>
    </xf>
    <xf numFmtId="43" fontId="39" fillId="0" borderId="54" xfId="45" applyFont="1" applyFill="1" applyBorder="1" applyAlignment="1" applyProtection="1">
      <alignment horizontal="center" vertical="center"/>
      <protection locked="0"/>
    </xf>
    <xf numFmtId="43" fontId="31" fillId="32" borderId="28" xfId="0" applyNumberFormat="1" applyFont="1" applyFill="1" applyBorder="1" applyAlignment="1" applyProtection="1">
      <alignment horizontal="center" vertical="center"/>
      <protection locked="0"/>
    </xf>
    <xf numFmtId="43" fontId="31" fillId="32" borderId="28" xfId="45" applyFont="1" applyFill="1" applyBorder="1" applyAlignment="1" applyProtection="1">
      <alignment horizontal="center" vertical="center"/>
      <protection locked="0"/>
    </xf>
    <xf numFmtId="43" fontId="31" fillId="32" borderId="42" xfId="45" applyFont="1" applyFill="1" applyBorder="1" applyAlignment="1" applyProtection="1">
      <alignment horizontal="center" vertical="center"/>
      <protection locked="0"/>
    </xf>
    <xf numFmtId="43" fontId="31" fillId="32" borderId="54" xfId="45" applyFont="1" applyFill="1" applyBorder="1" applyAlignment="1" applyProtection="1">
      <alignment horizontal="center" vertical="center"/>
      <protection locked="0"/>
    </xf>
    <xf numFmtId="43" fontId="30" fillId="0" borderId="43" xfId="45" applyFont="1" applyFill="1" applyBorder="1" applyAlignment="1">
      <alignment horizontal="center" vertical="center"/>
    </xf>
    <xf numFmtId="43" fontId="35" fillId="0" borderId="43" xfId="45" applyFont="1" applyFill="1" applyBorder="1" applyAlignment="1" applyProtection="1">
      <alignment vertical="center"/>
      <protection locked="0"/>
    </xf>
    <xf numFmtId="43" fontId="33" fillId="0" borderId="42" xfId="45" applyFont="1" applyFill="1" applyBorder="1" applyAlignment="1">
      <alignment horizontal="center" vertical="center"/>
    </xf>
    <xf numFmtId="43" fontId="31" fillId="33" borderId="42" xfId="45" applyFont="1" applyFill="1" applyBorder="1" applyAlignment="1" applyProtection="1">
      <alignment horizontal="center" vertical="center"/>
      <protection locked="0"/>
    </xf>
    <xf numFmtId="0" fontId="0" fillId="0" borderId="68" xfId="0" applyFill="1" applyBorder="1" applyAlignment="1">
      <alignment vertical="center"/>
    </xf>
    <xf numFmtId="0" fontId="5" fillId="0" borderId="0" xfId="0" applyFont="1" applyAlignment="1">
      <alignment horizontal="center" vertical="center"/>
    </xf>
    <xf numFmtId="0" fontId="30" fillId="0" borderId="0" xfId="0" applyFont="1" applyAlignment="1">
      <alignment horizontal="center" vertical="center"/>
    </xf>
    <xf numFmtId="0" fontId="30" fillId="0" borderId="0" xfId="0" applyFont="1" applyAlignment="1">
      <alignment horizontal="left" vertical="center"/>
    </xf>
    <xf numFmtId="0" fontId="30" fillId="0" borderId="28" xfId="0" applyFont="1" applyBorder="1" applyAlignment="1">
      <alignment horizontal="left" vertical="center"/>
    </xf>
    <xf numFmtId="43" fontId="30" fillId="0" borderId="28" xfId="45" applyFont="1" applyBorder="1" applyAlignment="1">
      <alignment horizontal="center" vertical="center"/>
    </xf>
    <xf numFmtId="0" fontId="6" fillId="0" borderId="69" xfId="0" applyFont="1" applyFill="1" applyBorder="1" applyAlignment="1">
      <alignment vertical="center"/>
    </xf>
    <xf numFmtId="0" fontId="5" fillId="0" borderId="0" xfId="0" applyFont="1" applyFill="1" applyBorder="1" applyAlignment="1">
      <alignment vertical="center"/>
    </xf>
    <xf numFmtId="43" fontId="5" fillId="0" borderId="0" xfId="45" applyFont="1" applyFill="1" applyBorder="1" applyAlignment="1">
      <alignment vertical="center"/>
    </xf>
    <xf numFmtId="0" fontId="5" fillId="0" borderId="0" xfId="0" applyFont="1" applyFill="1" applyAlignment="1">
      <alignment vertical="center"/>
    </xf>
    <xf numFmtId="43" fontId="0" fillId="0" borderId="11" xfId="45" applyFont="1" applyBorder="1" applyAlignment="1">
      <alignment vertical="center"/>
    </xf>
    <xf numFmtId="43" fontId="0" fillId="35" borderId="13" xfId="45" applyFont="1" applyFill="1" applyBorder="1" applyAlignment="1">
      <alignment horizontal="center" vertical="center"/>
    </xf>
    <xf numFmtId="43" fontId="0" fillId="35" borderId="43" xfId="45" applyFont="1" applyFill="1" applyBorder="1" applyAlignment="1">
      <alignment horizontal="center" vertical="center"/>
    </xf>
    <xf numFmtId="43" fontId="0" fillId="35" borderId="40" xfId="0" applyNumberFormat="1" applyFill="1" applyBorder="1" applyAlignment="1">
      <alignment vertical="center"/>
    </xf>
    <xf numFmtId="43" fontId="0" fillId="35" borderId="11" xfId="45" applyFont="1" applyFill="1" applyBorder="1" applyAlignment="1">
      <alignment horizontal="center" vertical="center"/>
    </xf>
    <xf numFmtId="43" fontId="0" fillId="35" borderId="31" xfId="45" applyFont="1" applyFill="1" applyBorder="1" applyAlignment="1">
      <alignment horizontal="center" vertical="center"/>
    </xf>
    <xf numFmtId="0" fontId="0" fillId="35" borderId="19" xfId="0" applyFill="1" applyBorder="1" applyAlignment="1">
      <alignment vertical="center"/>
    </xf>
    <xf numFmtId="0" fontId="0" fillId="35" borderId="40" xfId="0" applyFill="1" applyBorder="1" applyAlignment="1">
      <alignment vertical="center"/>
    </xf>
    <xf numFmtId="43" fontId="24" fillId="35" borderId="28" xfId="45" applyFont="1" applyFill="1" applyBorder="1" applyAlignment="1">
      <alignment horizontal="center" vertical="center"/>
    </xf>
    <xf numFmtId="43" fontId="24" fillId="35" borderId="42" xfId="45" applyFont="1" applyFill="1" applyBorder="1" applyAlignment="1">
      <alignment horizontal="center" vertical="center"/>
    </xf>
    <xf numFmtId="43" fontId="0" fillId="35" borderId="54" xfId="45" applyFont="1" applyFill="1" applyBorder="1" applyAlignment="1">
      <alignment vertical="center"/>
    </xf>
    <xf numFmtId="43" fontId="0" fillId="35" borderId="40" xfId="45" applyFont="1" applyFill="1" applyBorder="1" applyAlignment="1">
      <alignment vertical="center"/>
    </xf>
    <xf numFmtId="43" fontId="16" fillId="35" borderId="13" xfId="45" applyFont="1" applyFill="1" applyBorder="1" applyAlignment="1">
      <alignment horizontal="center" vertical="center"/>
    </xf>
    <xf numFmtId="43" fontId="16" fillId="35" borderId="43" xfId="45" applyFont="1" applyFill="1" applyBorder="1" applyAlignment="1">
      <alignment horizontal="center" vertical="center"/>
    </xf>
    <xf numFmtId="0" fontId="0" fillId="0" borderId="0" xfId="0" applyFont="1" applyFill="1" applyAlignment="1">
      <alignment vertical="center"/>
    </xf>
    <xf numFmtId="0" fontId="46" fillId="0" borderId="0" xfId="0" applyFont="1" applyAlignment="1">
      <alignment vertical="center"/>
    </xf>
    <xf numFmtId="0" fontId="0" fillId="0" borderId="0" xfId="0" applyFont="1" applyBorder="1" applyAlignment="1">
      <alignment vertical="center"/>
    </xf>
    <xf numFmtId="43" fontId="6" fillId="0" borderId="13" xfId="45" applyFont="1" applyFill="1" applyBorder="1" applyAlignment="1">
      <alignment horizontal="right" vertical="center"/>
    </xf>
    <xf numFmtId="4" fontId="0" fillId="0" borderId="0" xfId="0" applyNumberFormat="1" applyFont="1" applyBorder="1" applyAlignment="1">
      <alignment vertical="center"/>
    </xf>
    <xf numFmtId="43" fontId="5" fillId="0" borderId="13" xfId="45" applyFont="1" applyFill="1" applyBorder="1" applyAlignment="1">
      <alignment horizontal="right" vertical="center"/>
    </xf>
    <xf numFmtId="43" fontId="6" fillId="0" borderId="28" xfId="45" applyFont="1" applyFill="1" applyBorder="1" applyAlignment="1">
      <alignment horizontal="right" vertical="center"/>
    </xf>
    <xf numFmtId="43" fontId="5" fillId="0" borderId="28" xfId="45" applyFont="1" applyFill="1" applyBorder="1" applyAlignment="1">
      <alignment horizontal="right" vertical="center"/>
    </xf>
    <xf numFmtId="43" fontId="5" fillId="0" borderId="11" xfId="45" applyFont="1" applyFill="1" applyBorder="1" applyAlignment="1">
      <alignment horizontal="right" vertical="center"/>
    </xf>
    <xf numFmtId="43" fontId="3" fillId="0" borderId="13" xfId="45" applyFont="1" applyFill="1" applyBorder="1" applyAlignment="1">
      <alignment horizontal="right" vertical="center"/>
    </xf>
    <xf numFmtId="43" fontId="44" fillId="0" borderId="28" xfId="0" applyNumberFormat="1" applyFont="1" applyFill="1" applyBorder="1" applyAlignment="1">
      <alignment vertical="center"/>
    </xf>
    <xf numFmtId="10" fontId="3" fillId="0" borderId="28" xfId="0" applyNumberFormat="1" applyFont="1" applyFill="1" applyBorder="1" applyAlignment="1">
      <alignment vertical="center"/>
    </xf>
    <xf numFmtId="0" fontId="0" fillId="0" borderId="0" xfId="0" applyFont="1" applyAlignment="1" quotePrefix="1">
      <alignment vertical="center"/>
    </xf>
    <xf numFmtId="0" fontId="0" fillId="0" borderId="0" xfId="0" applyFont="1" applyAlignment="1" quotePrefix="1">
      <alignment horizontal="left" vertical="center"/>
    </xf>
    <xf numFmtId="0" fontId="4" fillId="0" borderId="11" xfId="0" applyFont="1" applyFill="1" applyBorder="1" applyAlignment="1">
      <alignment vertical="center" wrapText="1"/>
    </xf>
    <xf numFmtId="0" fontId="0" fillId="0" borderId="31" xfId="0" applyFont="1" applyBorder="1" applyAlignment="1">
      <alignment horizontal="left" vertical="center" wrapText="1"/>
    </xf>
    <xf numFmtId="0" fontId="0" fillId="0" borderId="0" xfId="0" applyFont="1" applyBorder="1" applyAlignment="1">
      <alignment horizontal="left" vertical="center" wrapText="1"/>
    </xf>
    <xf numFmtId="0" fontId="0" fillId="35" borderId="70" xfId="0" applyFont="1" applyFill="1" applyBorder="1" applyAlignment="1" applyProtection="1" quotePrefix="1">
      <alignment horizontal="center" vertical="center" wrapText="1"/>
      <protection hidden="1"/>
    </xf>
    <xf numFmtId="0" fontId="0" fillId="35" borderId="71" xfId="0" applyFont="1" applyFill="1" applyBorder="1" applyAlignment="1" applyProtection="1">
      <alignment vertical="center" wrapText="1"/>
      <protection locked="0"/>
    </xf>
    <xf numFmtId="43" fontId="100" fillId="0" borderId="72" xfId="45" applyFont="1" applyFill="1" applyBorder="1" applyAlignment="1">
      <alignment/>
    </xf>
    <xf numFmtId="0" fontId="17" fillId="0" borderId="73" xfId="0" applyFont="1" applyFill="1" applyBorder="1" applyAlignment="1">
      <alignment horizontal="center" vertical="center" wrapText="1"/>
    </xf>
    <xf numFmtId="0" fontId="17" fillId="0" borderId="74" xfId="0" applyFont="1" applyFill="1" applyBorder="1" applyAlignment="1">
      <alignment horizontal="center" vertical="center" wrapText="1"/>
    </xf>
    <xf numFmtId="0" fontId="0" fillId="0" borderId="42" xfId="0" applyFont="1" applyBorder="1" applyAlignment="1">
      <alignment vertical="center"/>
    </xf>
    <xf numFmtId="0" fontId="0" fillId="0" borderId="29" xfId="0" applyFont="1" applyBorder="1" applyAlignment="1">
      <alignment vertical="center"/>
    </xf>
    <xf numFmtId="0" fontId="0" fillId="0" borderId="29" xfId="0" applyFont="1" applyFill="1" applyBorder="1" applyAlignment="1">
      <alignment vertical="center"/>
    </xf>
    <xf numFmtId="0" fontId="0" fillId="0" borderId="28" xfId="0" applyFont="1" applyFill="1" applyBorder="1" applyAlignment="1">
      <alignment vertical="center"/>
    </xf>
    <xf numFmtId="0" fontId="0" fillId="0" borderId="26" xfId="0" applyFont="1" applyFill="1" applyBorder="1" applyAlignment="1">
      <alignment vertical="center"/>
    </xf>
    <xf numFmtId="0" fontId="48" fillId="0" borderId="29" xfId="0" applyFont="1" applyFill="1" applyBorder="1" applyAlignment="1">
      <alignment vertical="center" wrapText="1"/>
    </xf>
    <xf numFmtId="0" fontId="48" fillId="0" borderId="28" xfId="0" applyFont="1" applyFill="1" applyBorder="1" applyAlignment="1">
      <alignment vertical="center" wrapText="1"/>
    </xf>
    <xf numFmtId="0" fontId="48" fillId="0" borderId="26" xfId="0" applyFont="1" applyFill="1" applyBorder="1" applyAlignment="1">
      <alignment vertical="center" wrapText="1"/>
    </xf>
    <xf numFmtId="0" fontId="17" fillId="0" borderId="42" xfId="0" applyFont="1" applyBorder="1" applyAlignment="1">
      <alignment vertical="center"/>
    </xf>
    <xf numFmtId="0" fontId="17" fillId="0" borderId="29" xfId="0" applyFont="1" applyBorder="1" applyAlignment="1">
      <alignment vertical="center"/>
    </xf>
    <xf numFmtId="0" fontId="17" fillId="0" borderId="29" xfId="0" applyFont="1" applyFill="1" applyBorder="1" applyAlignment="1">
      <alignment vertical="center"/>
    </xf>
    <xf numFmtId="0" fontId="17" fillId="0" borderId="28" xfId="0" applyFont="1" applyFill="1" applyBorder="1" applyAlignment="1">
      <alignment vertical="center"/>
    </xf>
    <xf numFmtId="0" fontId="17" fillId="0" borderId="26" xfId="0" applyFont="1" applyFill="1" applyBorder="1" applyAlignment="1">
      <alignment vertical="center"/>
    </xf>
    <xf numFmtId="0" fontId="117" fillId="36" borderId="0" xfId="0" applyFont="1" applyFill="1" applyAlignment="1">
      <alignment horizontal="center" vertical="center"/>
    </xf>
    <xf numFmtId="0" fontId="4" fillId="0" borderId="31" xfId="0" applyFont="1" applyBorder="1" applyAlignment="1">
      <alignment vertical="center"/>
    </xf>
    <xf numFmtId="0" fontId="0" fillId="0" borderId="10" xfId="0" applyFill="1" applyBorder="1" applyAlignment="1">
      <alignment vertical="center"/>
    </xf>
    <xf numFmtId="0" fontId="0" fillId="0" borderId="31" xfId="0" applyFont="1" applyBorder="1" applyAlignment="1">
      <alignment vertical="center"/>
    </xf>
    <xf numFmtId="0" fontId="0" fillId="0" borderId="11" xfId="0" applyFill="1" applyBorder="1" applyAlignment="1" quotePrefix="1">
      <alignment horizontal="center" vertical="center"/>
    </xf>
    <xf numFmtId="43" fontId="43" fillId="0" borderId="10" xfId="45" applyFont="1" applyFill="1" applyBorder="1" applyAlignment="1">
      <alignment horizontal="right" vertical="center"/>
    </xf>
    <xf numFmtId="4" fontId="0" fillId="0" borderId="0" xfId="0" applyNumberFormat="1" applyBorder="1" applyAlignment="1">
      <alignment vertical="center"/>
    </xf>
    <xf numFmtId="4" fontId="0" fillId="0" borderId="11" xfId="0" applyNumberFormat="1" applyFill="1" applyBorder="1" applyAlignment="1">
      <alignment vertical="center"/>
    </xf>
    <xf numFmtId="0" fontId="0" fillId="0" borderId="31" xfId="0" applyBorder="1" applyAlignment="1">
      <alignment horizontal="left" vertical="center"/>
    </xf>
    <xf numFmtId="0" fontId="0" fillId="0" borderId="0" xfId="0" applyBorder="1" applyAlignment="1">
      <alignment horizontal="left" vertical="center"/>
    </xf>
    <xf numFmtId="187" fontId="0" fillId="0" borderId="0" xfId="0" applyNumberFormat="1" applyBorder="1" applyAlignment="1">
      <alignment vertical="center"/>
    </xf>
    <xf numFmtId="187" fontId="0" fillId="0" borderId="11" xfId="0" applyNumberFormat="1" applyFill="1" applyBorder="1" applyAlignment="1">
      <alignment vertical="center"/>
    </xf>
    <xf numFmtId="43" fontId="43" fillId="0" borderId="10" xfId="45" applyFont="1" applyFill="1" applyBorder="1" applyAlignment="1">
      <alignment vertical="center"/>
    </xf>
    <xf numFmtId="43" fontId="114" fillId="0" borderId="0" xfId="45" applyFont="1" applyFill="1" applyBorder="1" applyAlignment="1">
      <alignment vertical="center"/>
    </xf>
    <xf numFmtId="43" fontId="114" fillId="0" borderId="11" xfId="45" applyFont="1" applyFill="1" applyBorder="1" applyAlignment="1">
      <alignment vertical="center"/>
    </xf>
    <xf numFmtId="0" fontId="0" fillId="0" borderId="31" xfId="0" applyBorder="1" applyAlignment="1">
      <alignment vertical="center"/>
    </xf>
    <xf numFmtId="0" fontId="0" fillId="0" borderId="13" xfId="0" applyFill="1" applyBorder="1" applyAlignment="1">
      <alignment vertical="center"/>
    </xf>
    <xf numFmtId="0" fontId="43" fillId="0" borderId="14" xfId="0" applyFont="1" applyFill="1" applyBorder="1" applyAlignment="1">
      <alignment vertical="center"/>
    </xf>
    <xf numFmtId="4" fontId="0" fillId="0" borderId="75" xfId="0" applyNumberFormat="1" applyFill="1" applyBorder="1" applyAlignment="1">
      <alignment vertical="center"/>
    </xf>
    <xf numFmtId="0" fontId="0" fillId="0" borderId="31" xfId="0" applyBorder="1" applyAlignment="1">
      <alignment horizontal="left" vertical="center" wrapText="1"/>
    </xf>
    <xf numFmtId="0" fontId="0" fillId="0" borderId="0" xfId="0" applyBorder="1" applyAlignment="1">
      <alignment horizontal="left" vertical="center" wrapText="1"/>
    </xf>
    <xf numFmtId="0" fontId="0" fillId="0" borderId="31" xfId="0" applyBorder="1" applyAlignment="1">
      <alignment vertical="center" wrapText="1"/>
    </xf>
    <xf numFmtId="43" fontId="45" fillId="0" borderId="10" xfId="45" applyFont="1" applyFill="1" applyBorder="1" applyAlignment="1">
      <alignment vertical="center"/>
    </xf>
    <xf numFmtId="187" fontId="43" fillId="0" borderId="31" xfId="0" applyNumberFormat="1" applyFont="1" applyBorder="1" applyAlignment="1">
      <alignment horizontal="right" vertical="center"/>
    </xf>
    <xf numFmtId="0" fontId="0" fillId="0" borderId="11" xfId="0" applyFill="1" applyBorder="1" applyAlignment="1">
      <alignment horizontal="left" vertical="center" wrapText="1"/>
    </xf>
    <xf numFmtId="43" fontId="0" fillId="0" borderId="0" xfId="45" applyFont="1" applyFill="1" applyBorder="1" applyAlignment="1">
      <alignment horizontal="left" vertical="center" wrapText="1"/>
    </xf>
    <xf numFmtId="43" fontId="0" fillId="0" borderId="11" xfId="45" applyFont="1" applyFill="1" applyBorder="1" applyAlignment="1">
      <alignment horizontal="left" vertical="center" wrapText="1"/>
    </xf>
    <xf numFmtId="43" fontId="0" fillId="0" borderId="14" xfId="45" applyFont="1" applyFill="1" applyBorder="1" applyAlignment="1">
      <alignment vertical="center"/>
    </xf>
    <xf numFmtId="0" fontId="0" fillId="0" borderId="43" xfId="0" applyBorder="1" applyAlignment="1">
      <alignment vertical="center"/>
    </xf>
    <xf numFmtId="0" fontId="0" fillId="0" borderId="27" xfId="0" applyBorder="1" applyAlignment="1">
      <alignment vertical="center"/>
    </xf>
    <xf numFmtId="0" fontId="0" fillId="0" borderId="10" xfId="0" applyFill="1" applyBorder="1" applyAlignment="1">
      <alignment vertical="center" wrapText="1"/>
    </xf>
    <xf numFmtId="0" fontId="0" fillId="0" borderId="10" xfId="0" applyFill="1" applyBorder="1" applyAlignment="1">
      <alignment horizontal="left" vertical="center" wrapText="1"/>
    </xf>
    <xf numFmtId="189" fontId="43" fillId="0" borderId="14" xfId="0" applyNumberFormat="1" applyFont="1" applyFill="1" applyBorder="1" applyAlignment="1">
      <alignment vertical="center"/>
    </xf>
    <xf numFmtId="0" fontId="0" fillId="0" borderId="0" xfId="0" applyAlignment="1" quotePrefix="1">
      <alignment vertical="center"/>
    </xf>
    <xf numFmtId="43" fontId="4" fillId="0" borderId="11" xfId="45" applyFont="1" applyFill="1" applyBorder="1" applyAlignment="1">
      <alignment vertical="center" wrapText="1"/>
    </xf>
    <xf numFmtId="43" fontId="0" fillId="0" borderId="13" xfId="45" applyFont="1" applyFill="1" applyBorder="1" applyAlignment="1">
      <alignment vertical="center"/>
    </xf>
    <xf numFmtId="0" fontId="13" fillId="35" borderId="0" xfId="0" applyFont="1" applyFill="1" applyBorder="1" applyAlignment="1" applyProtection="1">
      <alignment vertical="center" wrapText="1"/>
      <protection locked="0"/>
    </xf>
    <xf numFmtId="0" fontId="29" fillId="35" borderId="0" xfId="0" applyFont="1" applyFill="1" applyBorder="1" applyAlignment="1" applyProtection="1">
      <alignment horizontal="center" vertical="center" wrapText="1"/>
      <protection locked="0"/>
    </xf>
    <xf numFmtId="0" fontId="2" fillId="35" borderId="0" xfId="0" applyFont="1" applyFill="1" applyBorder="1" applyAlignment="1" applyProtection="1">
      <alignment vertical="center" wrapText="1"/>
      <protection locked="0"/>
    </xf>
    <xf numFmtId="0" fontId="28" fillId="35" borderId="0" xfId="0" applyFont="1" applyFill="1" applyBorder="1" applyAlignment="1" applyProtection="1">
      <alignment horizontal="center" vertical="center" wrapText="1"/>
      <protection locked="0"/>
    </xf>
    <xf numFmtId="0" fontId="7" fillId="35" borderId="76" xfId="0" applyFont="1" applyFill="1" applyBorder="1" applyAlignment="1" applyProtection="1">
      <alignment vertical="center" wrapText="1"/>
      <protection hidden="1"/>
    </xf>
    <xf numFmtId="0" fontId="0" fillId="35" borderId="0" xfId="0" applyFont="1" applyFill="1" applyBorder="1" applyAlignment="1" applyProtection="1">
      <alignment vertical="center" wrapText="1"/>
      <protection locked="0"/>
    </xf>
    <xf numFmtId="0" fontId="26" fillId="35" borderId="0" xfId="0" applyFont="1" applyFill="1" applyBorder="1" applyAlignment="1" applyProtection="1">
      <alignment horizontal="center" vertical="center" wrapText="1"/>
      <protection locked="0"/>
    </xf>
    <xf numFmtId="0" fontId="3" fillId="35" borderId="0" xfId="0" applyFont="1" applyFill="1" applyBorder="1" applyAlignment="1" applyProtection="1">
      <alignment horizontal="center" vertical="center" wrapText="1"/>
      <protection locked="0"/>
    </xf>
    <xf numFmtId="0" fontId="11" fillId="35" borderId="0" xfId="0" applyFont="1" applyFill="1" applyBorder="1" applyAlignment="1" applyProtection="1">
      <alignment horizontal="center" vertical="center" wrapText="1"/>
      <protection locked="0"/>
    </xf>
    <xf numFmtId="0" fontId="0" fillId="35" borderId="18" xfId="0" applyFont="1" applyFill="1" applyBorder="1" applyAlignment="1" applyProtection="1">
      <alignment horizontal="center" vertical="center" wrapText="1"/>
      <protection hidden="1"/>
    </xf>
    <xf numFmtId="0" fontId="0" fillId="35" borderId="13" xfId="0" applyFont="1" applyFill="1" applyBorder="1" applyAlignment="1" applyProtection="1">
      <alignment horizontal="center" vertical="center" wrapText="1"/>
      <protection hidden="1"/>
    </xf>
    <xf numFmtId="0" fontId="0" fillId="35" borderId="13" xfId="0" applyFont="1" applyFill="1" applyBorder="1" applyAlignment="1" applyProtection="1">
      <alignment horizontal="center" vertical="center" wrapText="1"/>
      <protection hidden="1"/>
    </xf>
    <xf numFmtId="0" fontId="0" fillId="35" borderId="43" xfId="0" applyFont="1" applyFill="1" applyBorder="1" applyAlignment="1" applyProtection="1">
      <alignment horizontal="center" vertical="center" wrapText="1"/>
      <protection hidden="1"/>
    </xf>
    <xf numFmtId="0" fontId="0" fillId="35" borderId="43" xfId="0" applyFont="1" applyFill="1" applyBorder="1" applyAlignment="1" applyProtection="1">
      <alignment horizontal="center" vertical="center" wrapText="1"/>
      <protection hidden="1"/>
    </xf>
    <xf numFmtId="0" fontId="0" fillId="35" borderId="21" xfId="0" applyFont="1" applyFill="1" applyBorder="1" applyAlignment="1" applyProtection="1">
      <alignment horizontal="center" vertical="center" wrapText="1"/>
      <protection locked="0"/>
    </xf>
    <xf numFmtId="0" fontId="26" fillId="35" borderId="28" xfId="0" applyFont="1" applyFill="1" applyBorder="1" applyAlignment="1" applyProtection="1">
      <alignment horizontal="center" vertical="center" wrapText="1"/>
      <protection hidden="1"/>
    </xf>
    <xf numFmtId="0" fontId="0" fillId="35" borderId="0" xfId="0" applyFont="1" applyFill="1" applyBorder="1" applyAlignment="1" applyProtection="1">
      <alignment horizontal="center" vertical="center" wrapText="1"/>
      <protection locked="0"/>
    </xf>
    <xf numFmtId="0" fontId="4" fillId="35" borderId="77" xfId="0" applyFont="1" applyFill="1" applyBorder="1" applyAlignment="1" applyProtection="1">
      <alignment horizontal="center" vertical="center" wrapText="1"/>
      <protection hidden="1"/>
    </xf>
    <xf numFmtId="0" fontId="0" fillId="35" borderId="70" xfId="0" applyFont="1" applyFill="1" applyBorder="1" applyAlignment="1" applyProtection="1">
      <alignment vertical="center" wrapText="1"/>
      <protection locked="0"/>
    </xf>
    <xf numFmtId="43" fontId="0" fillId="35" borderId="70" xfId="45" applyFont="1" applyFill="1" applyBorder="1" applyAlignment="1" applyProtection="1">
      <alignment vertical="center" wrapText="1"/>
      <protection locked="0"/>
    </xf>
    <xf numFmtId="0" fontId="0" fillId="35" borderId="0" xfId="0" applyFont="1" applyFill="1" applyBorder="1" applyAlignment="1" applyProtection="1">
      <alignment vertical="center" wrapText="1"/>
      <protection locked="0"/>
    </xf>
    <xf numFmtId="0" fontId="26" fillId="35" borderId="70" xfId="0" applyFont="1" applyFill="1" applyBorder="1" applyAlignment="1" applyProtection="1">
      <alignment horizontal="center" vertical="center" wrapText="1"/>
      <protection locked="0"/>
    </xf>
    <xf numFmtId="0" fontId="4" fillId="35" borderId="78" xfId="0" applyFont="1" applyFill="1" applyBorder="1" applyAlignment="1" applyProtection="1">
      <alignment horizontal="center" vertical="center" wrapText="1"/>
      <protection hidden="1"/>
    </xf>
    <xf numFmtId="0" fontId="15" fillId="35" borderId="71" xfId="54" applyFont="1" applyFill="1" applyBorder="1" applyAlignment="1" applyProtection="1" quotePrefix="1">
      <alignment horizontal="center" vertical="center" wrapText="1"/>
      <protection locked="0"/>
    </xf>
    <xf numFmtId="43" fontId="0" fillId="35" borderId="71" xfId="45" applyFont="1" applyFill="1" applyBorder="1" applyAlignment="1" applyProtection="1">
      <alignment vertical="center" wrapText="1"/>
      <protection locked="0"/>
    </xf>
    <xf numFmtId="43" fontId="0" fillId="35" borderId="79" xfId="45" applyFont="1" applyFill="1" applyBorder="1" applyAlignment="1" applyProtection="1">
      <alignment vertical="center" wrapText="1"/>
      <protection locked="0"/>
    </xf>
    <xf numFmtId="0" fontId="0" fillId="35" borderId="71" xfId="0" applyFont="1" applyFill="1" applyBorder="1" applyAlignment="1" applyProtection="1">
      <alignment vertical="center" wrapText="1"/>
      <protection locked="0"/>
    </xf>
    <xf numFmtId="43" fontId="0" fillId="35" borderId="80" xfId="45" applyFont="1" applyFill="1" applyBorder="1" applyAlignment="1" applyProtection="1">
      <alignment vertical="center" wrapText="1"/>
      <protection locked="0"/>
    </xf>
    <xf numFmtId="43" fontId="4" fillId="35" borderId="81" xfId="45" applyFont="1" applyFill="1" applyBorder="1" applyAlignment="1" applyProtection="1">
      <alignment vertical="center" wrapText="1"/>
      <protection locked="0"/>
    </xf>
    <xf numFmtId="43" fontId="4" fillId="35" borderId="46" xfId="45" applyFont="1" applyFill="1" applyBorder="1" applyAlignment="1" applyProtection="1">
      <alignment vertical="center" wrapText="1"/>
      <protection locked="0"/>
    </xf>
    <xf numFmtId="0" fontId="0" fillId="35" borderId="71" xfId="0" applyFont="1" applyFill="1" applyBorder="1" applyAlignment="1" applyProtection="1">
      <alignment horizontal="center" vertical="center" wrapText="1"/>
      <protection locked="0"/>
    </xf>
    <xf numFmtId="0" fontId="3" fillId="35" borderId="0" xfId="0" applyFont="1" applyFill="1" applyBorder="1" applyAlignment="1" applyProtection="1">
      <alignment vertical="center" wrapText="1"/>
      <protection hidden="1"/>
    </xf>
    <xf numFmtId="0" fontId="0" fillId="35" borderId="82" xfId="0" applyFont="1" applyFill="1" applyBorder="1" applyAlignment="1" applyProtection="1">
      <alignment horizontal="center" vertical="center" wrapText="1"/>
      <protection hidden="1"/>
    </xf>
    <xf numFmtId="0" fontId="0" fillId="35" borderId="0" xfId="0" applyFont="1" applyFill="1" applyBorder="1" applyAlignment="1" applyProtection="1">
      <alignment horizontal="center" vertical="center" wrapText="1"/>
      <protection hidden="1"/>
    </xf>
    <xf numFmtId="0" fontId="0" fillId="35" borderId="70" xfId="0" applyFont="1" applyFill="1" applyBorder="1" applyAlignment="1" applyProtection="1" quotePrefix="1">
      <alignment horizontal="center" vertical="center" wrapText="1"/>
      <protection locked="0"/>
    </xf>
    <xf numFmtId="0" fontId="0" fillId="35" borderId="70" xfId="0" applyFont="1" applyFill="1" applyBorder="1" applyAlignment="1" applyProtection="1">
      <alignment vertical="center" wrapText="1"/>
      <protection locked="0"/>
    </xf>
    <xf numFmtId="43" fontId="0" fillId="35" borderId="83" xfId="45" applyFont="1" applyFill="1" applyBorder="1" applyAlignment="1" applyProtection="1">
      <alignment vertical="center" wrapText="1"/>
      <protection locked="0"/>
    </xf>
    <xf numFmtId="0" fontId="0" fillId="35" borderId="71" xfId="0" applyFont="1" applyFill="1" applyBorder="1" applyAlignment="1" applyProtection="1" quotePrefix="1">
      <alignment horizontal="center" vertical="center" wrapText="1"/>
      <protection locked="0"/>
    </xf>
    <xf numFmtId="43" fontId="0" fillId="35" borderId="71" xfId="45" applyFont="1" applyFill="1" applyBorder="1" applyAlignment="1" applyProtection="1">
      <alignment vertical="center" wrapText="1"/>
      <protection locked="0"/>
    </xf>
    <xf numFmtId="0" fontId="0" fillId="35" borderId="38" xfId="0" applyFont="1" applyFill="1" applyBorder="1" applyAlignment="1" applyProtection="1">
      <alignment horizontal="center" vertical="center" wrapText="1"/>
      <protection hidden="1"/>
    </xf>
    <xf numFmtId="0" fontId="0" fillId="35" borderId="84" xfId="0" applyFont="1" applyFill="1" applyBorder="1" applyAlignment="1" applyProtection="1">
      <alignment horizontal="center" vertical="center" wrapText="1"/>
      <protection hidden="1"/>
    </xf>
    <xf numFmtId="0" fontId="0" fillId="35" borderId="84" xfId="0" applyFont="1" applyFill="1" applyBorder="1" applyAlignment="1" applyProtection="1">
      <alignment horizontal="center" vertical="center" wrapText="1"/>
      <protection hidden="1"/>
    </xf>
    <xf numFmtId="0" fontId="4" fillId="35" borderId="85" xfId="0" applyFont="1" applyFill="1" applyBorder="1" applyAlignment="1" applyProtection="1">
      <alignment horizontal="center" vertical="center" wrapText="1"/>
      <protection hidden="1"/>
    </xf>
    <xf numFmtId="0" fontId="0" fillId="35" borderId="86" xfId="0" applyFont="1" applyFill="1" applyBorder="1" applyAlignment="1" applyProtection="1">
      <alignment horizontal="center" vertical="center" wrapText="1"/>
      <protection locked="0"/>
    </xf>
    <xf numFmtId="0" fontId="0" fillId="35" borderId="86" xfId="0" applyFont="1" applyFill="1" applyBorder="1" applyAlignment="1" applyProtection="1">
      <alignment vertical="center" wrapText="1"/>
      <protection locked="0"/>
    </xf>
    <xf numFmtId="43" fontId="0" fillId="35" borderId="87" xfId="45" applyFont="1" applyFill="1" applyBorder="1" applyAlignment="1" applyProtection="1">
      <alignment vertical="center" wrapText="1"/>
      <protection locked="0"/>
    </xf>
    <xf numFmtId="43" fontId="0" fillId="35" borderId="86" xfId="45" applyFont="1" applyFill="1" applyBorder="1" applyAlignment="1" applyProtection="1">
      <alignment vertical="center" wrapText="1"/>
      <protection locked="0"/>
    </xf>
    <xf numFmtId="43" fontId="4" fillId="35" borderId="64" xfId="45" applyFont="1" applyFill="1" applyBorder="1" applyAlignment="1" applyProtection="1">
      <alignment vertical="center" wrapText="1"/>
      <protection locked="0"/>
    </xf>
    <xf numFmtId="0" fontId="4" fillId="35" borderId="0" xfId="0" applyFont="1" applyFill="1" applyBorder="1" applyAlignment="1" applyProtection="1">
      <alignment vertical="center" wrapText="1"/>
      <protection locked="0"/>
    </xf>
    <xf numFmtId="43" fontId="0" fillId="35" borderId="88" xfId="45" applyFont="1" applyFill="1" applyBorder="1" applyAlignment="1" applyProtection="1">
      <alignment vertical="center" wrapText="1"/>
      <protection locked="0"/>
    </xf>
    <xf numFmtId="0" fontId="4" fillId="35" borderId="89" xfId="0" applyFont="1" applyFill="1" applyBorder="1" applyAlignment="1" applyProtection="1">
      <alignment horizontal="center" vertical="center" wrapText="1"/>
      <protection hidden="1"/>
    </xf>
    <xf numFmtId="49" fontId="4" fillId="35" borderId="90" xfId="0" applyNumberFormat="1" applyFont="1" applyFill="1" applyBorder="1" applyAlignment="1" applyProtection="1">
      <alignment horizontal="center" vertical="center" wrapText="1"/>
      <protection locked="0"/>
    </xf>
    <xf numFmtId="0" fontId="0" fillId="35" borderId="90" xfId="0" applyFont="1" applyFill="1" applyBorder="1" applyAlignment="1" applyProtection="1" quotePrefix="1">
      <alignment horizontal="center" vertical="center" wrapText="1"/>
      <protection locked="0"/>
    </xf>
    <xf numFmtId="43" fontId="0" fillId="35" borderId="0" xfId="45" applyFont="1" applyFill="1" applyBorder="1" applyAlignment="1" applyProtection="1">
      <alignment vertical="center" wrapText="1"/>
      <protection locked="0"/>
    </xf>
    <xf numFmtId="0" fontId="0" fillId="35" borderId="86" xfId="0" applyFont="1" applyFill="1" applyBorder="1" applyAlignment="1" applyProtection="1">
      <alignment vertical="center" wrapText="1"/>
      <protection locked="0"/>
    </xf>
    <xf numFmtId="43" fontId="0" fillId="35" borderId="87" xfId="45" applyFont="1" applyFill="1" applyBorder="1" applyAlignment="1" applyProtection="1">
      <alignment vertical="center" wrapText="1"/>
      <protection locked="0"/>
    </xf>
    <xf numFmtId="43" fontId="0" fillId="35" borderId="86" xfId="45" applyFont="1" applyFill="1" applyBorder="1" applyAlignment="1" applyProtection="1">
      <alignment vertical="center" wrapText="1"/>
      <protection locked="0"/>
    </xf>
    <xf numFmtId="0" fontId="0" fillId="35" borderId="39" xfId="0" applyFont="1" applyFill="1" applyBorder="1" applyAlignment="1" applyProtection="1">
      <alignment horizontal="center" vertical="center" wrapText="1"/>
      <protection hidden="1"/>
    </xf>
    <xf numFmtId="0" fontId="0" fillId="35" borderId="91" xfId="0" applyFont="1" applyFill="1" applyBorder="1" applyAlignment="1" applyProtection="1">
      <alignment horizontal="center" vertical="center" wrapText="1"/>
      <protection hidden="1"/>
    </xf>
    <xf numFmtId="0" fontId="0" fillId="35" borderId="50" xfId="0" applyFont="1" applyFill="1" applyBorder="1" applyAlignment="1" applyProtection="1">
      <alignment horizontal="center" vertical="center" wrapText="1"/>
      <protection hidden="1"/>
    </xf>
    <xf numFmtId="0" fontId="0" fillId="35" borderId="83" xfId="0" applyFont="1" applyFill="1" applyBorder="1" applyAlignment="1" applyProtection="1">
      <alignment vertical="center" wrapText="1"/>
      <protection locked="0"/>
    </xf>
    <xf numFmtId="43" fontId="0" fillId="35" borderId="70" xfId="45" applyFont="1" applyFill="1" applyBorder="1" applyAlignment="1" applyProtection="1">
      <alignment vertical="center" wrapText="1"/>
      <protection locked="0"/>
    </xf>
    <xf numFmtId="0" fontId="0" fillId="35" borderId="80" xfId="0" applyFont="1" applyFill="1" applyBorder="1" applyAlignment="1" applyProtection="1">
      <alignment vertical="center" wrapText="1"/>
      <protection locked="0"/>
    </xf>
    <xf numFmtId="0" fontId="0" fillId="35" borderId="87" xfId="0" applyFont="1" applyFill="1" applyBorder="1" applyAlignment="1" applyProtection="1">
      <alignment vertical="center" wrapText="1"/>
      <protection locked="0"/>
    </xf>
    <xf numFmtId="0" fontId="4" fillId="35" borderId="92" xfId="0" applyFont="1" applyFill="1" applyBorder="1" applyAlignment="1" applyProtection="1">
      <alignment horizontal="center" vertical="center" wrapText="1"/>
      <protection hidden="1"/>
    </xf>
    <xf numFmtId="43" fontId="4" fillId="35" borderId="84" xfId="45" applyFont="1" applyFill="1" applyBorder="1" applyAlignment="1" applyProtection="1">
      <alignment vertical="center" wrapText="1"/>
      <protection locked="0"/>
    </xf>
    <xf numFmtId="43" fontId="4" fillId="35" borderId="45" xfId="45" applyFont="1" applyFill="1" applyBorder="1" applyAlignment="1" applyProtection="1">
      <alignment vertical="center" wrapText="1"/>
      <protection locked="0"/>
    </xf>
    <xf numFmtId="43" fontId="4" fillId="35" borderId="56" xfId="45" applyFont="1" applyFill="1" applyBorder="1" applyAlignment="1" applyProtection="1">
      <alignment vertical="center" wrapText="1"/>
      <protection locked="0"/>
    </xf>
    <xf numFmtId="0" fontId="3" fillId="35" borderId="55" xfId="0" applyFont="1" applyFill="1" applyBorder="1" applyAlignment="1" applyProtection="1">
      <alignment horizontal="center" vertical="center" wrapText="1"/>
      <protection hidden="1"/>
    </xf>
    <xf numFmtId="0" fontId="3" fillId="35" borderId="93" xfId="0" applyFont="1" applyFill="1" applyBorder="1" applyAlignment="1" applyProtection="1">
      <alignment horizontal="center" vertical="center" wrapText="1"/>
      <protection hidden="1"/>
    </xf>
    <xf numFmtId="43" fontId="3" fillId="35" borderId="93" xfId="45" applyFont="1" applyFill="1" applyBorder="1" applyAlignment="1" applyProtection="1">
      <alignment vertical="center" wrapText="1"/>
      <protection hidden="1"/>
    </xf>
    <xf numFmtId="0" fontId="0" fillId="35" borderId="20" xfId="0" applyFont="1" applyFill="1" applyBorder="1" applyAlignment="1" applyProtection="1">
      <alignment horizontal="center" vertical="center" wrapText="1"/>
      <protection hidden="1"/>
    </xf>
    <xf numFmtId="0" fontId="0" fillId="35" borderId="30" xfId="0" applyFont="1" applyFill="1" applyBorder="1" applyAlignment="1" applyProtection="1">
      <alignment horizontal="center" vertical="center" wrapText="1"/>
      <protection hidden="1"/>
    </xf>
    <xf numFmtId="0" fontId="0" fillId="35" borderId="36" xfId="0" applyFont="1" applyFill="1" applyBorder="1" applyAlignment="1" applyProtection="1">
      <alignment horizontal="center" vertical="center" wrapText="1"/>
      <protection hidden="1"/>
    </xf>
    <xf numFmtId="0" fontId="4" fillId="35" borderId="90" xfId="0" applyFont="1" applyFill="1" applyBorder="1" applyAlignment="1" applyProtection="1">
      <alignment horizontal="center" vertical="center" wrapText="1"/>
      <protection hidden="1"/>
    </xf>
    <xf numFmtId="0" fontId="0" fillId="35" borderId="90" xfId="0" applyFont="1" applyFill="1" applyBorder="1" applyAlignment="1" applyProtection="1">
      <alignment horizontal="center" vertical="center" wrapText="1"/>
      <protection hidden="1"/>
    </xf>
    <xf numFmtId="0" fontId="0" fillId="35" borderId="90" xfId="0" applyFont="1" applyFill="1" applyBorder="1" applyAlignment="1" applyProtection="1">
      <alignment horizontal="left" vertical="center" wrapText="1"/>
      <protection hidden="1"/>
    </xf>
    <xf numFmtId="43" fontId="6" fillId="35" borderId="90" xfId="45" applyFont="1" applyFill="1" applyBorder="1" applyAlignment="1" applyProtection="1">
      <alignment vertical="center" wrapText="1"/>
      <protection hidden="1"/>
    </xf>
    <xf numFmtId="43" fontId="0" fillId="35" borderId="90" xfId="45" applyFont="1" applyFill="1" applyBorder="1" applyAlignment="1" applyProtection="1">
      <alignment vertical="center" wrapText="1"/>
      <protection hidden="1"/>
    </xf>
    <xf numFmtId="43" fontId="0" fillId="35" borderId="88" xfId="45" applyFont="1" applyFill="1" applyBorder="1" applyAlignment="1" applyProtection="1">
      <alignment vertical="center" wrapText="1"/>
      <protection hidden="1"/>
    </xf>
    <xf numFmtId="0" fontId="3" fillId="35" borderId="0" xfId="0" applyFont="1" applyFill="1" applyBorder="1" applyAlignment="1" applyProtection="1">
      <alignment horizontal="center" vertical="center" wrapText="1"/>
      <protection hidden="1"/>
    </xf>
    <xf numFmtId="0" fontId="6" fillId="35" borderId="0" xfId="0" applyFont="1" applyFill="1" applyBorder="1" applyAlignment="1" applyProtection="1">
      <alignment horizontal="left" vertical="center" wrapText="1"/>
      <protection hidden="1"/>
    </xf>
    <xf numFmtId="43" fontId="3" fillId="35" borderId="0" xfId="45" applyFont="1" applyFill="1" applyBorder="1" applyAlignment="1" applyProtection="1">
      <alignment vertical="center" wrapText="1"/>
      <protection hidden="1"/>
    </xf>
    <xf numFmtId="0" fontId="0" fillId="35" borderId="15" xfId="0" applyFont="1" applyFill="1" applyBorder="1" applyAlignment="1" applyProtection="1">
      <alignment horizontal="center" vertical="center" wrapText="1"/>
      <protection hidden="1"/>
    </xf>
    <xf numFmtId="0" fontId="4" fillId="35" borderId="0" xfId="0" applyFont="1" applyFill="1" applyBorder="1" applyAlignment="1" applyProtection="1">
      <alignment horizontal="center" vertical="center" wrapText="1"/>
      <protection hidden="1"/>
    </xf>
    <xf numFmtId="0" fontId="0" fillId="35" borderId="90" xfId="0" applyFont="1" applyFill="1" applyBorder="1" applyAlignment="1" applyProtection="1">
      <alignment vertical="center" wrapText="1"/>
      <protection locked="0"/>
    </xf>
    <xf numFmtId="43" fontId="3" fillId="35" borderId="45" xfId="45" applyFont="1" applyFill="1" applyBorder="1" applyAlignment="1" applyProtection="1">
      <alignment vertical="center" wrapText="1"/>
      <protection locked="0"/>
    </xf>
    <xf numFmtId="0" fontId="6" fillId="35" borderId="0" xfId="0" applyFont="1" applyFill="1" applyBorder="1" applyAlignment="1" applyProtection="1">
      <alignment vertical="center" wrapText="1"/>
      <protection locked="0"/>
    </xf>
    <xf numFmtId="0" fontId="0" fillId="35" borderId="70" xfId="0" applyFont="1" applyFill="1" applyBorder="1" applyAlignment="1" applyProtection="1">
      <alignment horizontal="center" vertical="center" wrapText="1"/>
      <protection hidden="1"/>
    </xf>
    <xf numFmtId="0" fontId="0" fillId="35" borderId="71" xfId="0" applyFont="1" applyFill="1" applyBorder="1" applyAlignment="1" applyProtection="1">
      <alignment horizontal="center" vertical="center" wrapText="1"/>
      <protection hidden="1"/>
    </xf>
    <xf numFmtId="0" fontId="4" fillId="35" borderId="0" xfId="0" applyFont="1" applyFill="1" applyBorder="1" applyAlignment="1" applyProtection="1">
      <alignment vertical="center" wrapText="1"/>
      <protection hidden="1"/>
    </xf>
    <xf numFmtId="0" fontId="3" fillId="35" borderId="21" xfId="0" applyFont="1" applyFill="1" applyBorder="1" applyAlignment="1" applyProtection="1">
      <alignment horizontal="center" vertical="center" wrapText="1"/>
      <protection hidden="1"/>
    </xf>
    <xf numFmtId="0" fontId="11" fillId="35" borderId="0" xfId="0" applyFont="1" applyFill="1" applyBorder="1" applyAlignment="1" applyProtection="1">
      <alignment horizontal="center" vertical="center" wrapText="1"/>
      <protection hidden="1"/>
    </xf>
    <xf numFmtId="43" fontId="5" fillId="35" borderId="94" xfId="45" applyFont="1" applyFill="1" applyBorder="1" applyAlignment="1" applyProtection="1">
      <alignment vertical="center" wrapText="1"/>
      <protection hidden="1"/>
    </xf>
    <xf numFmtId="0" fontId="3" fillId="35" borderId="21" xfId="0" applyFont="1" applyFill="1" applyBorder="1" applyAlignment="1" applyProtection="1">
      <alignment vertical="center" wrapText="1"/>
      <protection hidden="1"/>
    </xf>
    <xf numFmtId="0" fontId="4" fillId="35" borderId="35" xfId="0" applyFont="1" applyFill="1" applyBorder="1" applyAlignment="1" applyProtection="1">
      <alignment horizontal="right" vertical="center" wrapText="1"/>
      <protection locked="0"/>
    </xf>
    <xf numFmtId="0" fontId="4" fillId="35" borderId="76" xfId="0" applyFont="1" applyFill="1" applyBorder="1" applyAlignment="1" applyProtection="1">
      <alignment vertical="center" wrapText="1"/>
      <protection locked="0"/>
    </xf>
    <xf numFmtId="43" fontId="4" fillId="35" borderId="48" xfId="45" applyFont="1" applyFill="1" applyBorder="1" applyAlignment="1" applyProtection="1">
      <alignment vertical="center" wrapText="1"/>
      <protection locked="0"/>
    </xf>
    <xf numFmtId="43" fontId="4" fillId="35" borderId="95" xfId="45" applyFont="1" applyFill="1" applyBorder="1" applyAlignment="1" applyProtection="1">
      <alignment vertical="center" wrapText="1"/>
      <protection locked="0"/>
    </xf>
    <xf numFmtId="43" fontId="4" fillId="35" borderId="0" xfId="45" applyFont="1" applyFill="1" applyBorder="1" applyAlignment="1" applyProtection="1">
      <alignment vertical="center" wrapText="1"/>
      <protection locked="0"/>
    </xf>
    <xf numFmtId="0" fontId="4" fillId="35" borderId="47" xfId="0" applyFont="1" applyFill="1" applyBorder="1" applyAlignment="1" applyProtection="1">
      <alignment horizontal="right" vertical="center" wrapText="1"/>
      <protection locked="0"/>
    </xf>
    <xf numFmtId="0" fontId="4" fillId="35" borderId="96" xfId="0" applyFont="1" applyFill="1" applyBorder="1" applyAlignment="1" applyProtection="1">
      <alignment vertical="center" wrapText="1"/>
      <protection locked="0"/>
    </xf>
    <xf numFmtId="0" fontId="4" fillId="35" borderId="0" xfId="0" applyFont="1" applyFill="1" applyBorder="1" applyAlignment="1" applyProtection="1">
      <alignment horizontal="center" vertical="center" wrapText="1"/>
      <protection locked="0"/>
    </xf>
    <xf numFmtId="0" fontId="5" fillId="35" borderId="0" xfId="0" applyFont="1" applyFill="1" applyBorder="1" applyAlignment="1" applyProtection="1">
      <alignment horizontal="center" vertical="center" wrapText="1"/>
      <protection locked="0"/>
    </xf>
    <xf numFmtId="0" fontId="31" fillId="35" borderId="0" xfId="0" applyFont="1" applyFill="1" applyBorder="1" applyAlignment="1" applyProtection="1">
      <alignment horizontal="center" vertical="center" wrapText="1"/>
      <protection locked="0"/>
    </xf>
    <xf numFmtId="0" fontId="5" fillId="35" borderId="47" xfId="0" applyFont="1" applyFill="1" applyBorder="1" applyAlignment="1" applyProtection="1">
      <alignment horizontal="right" vertical="center" wrapText="1"/>
      <protection locked="0"/>
    </xf>
    <xf numFmtId="0" fontId="5" fillId="35" borderId="96" xfId="0" applyFont="1" applyFill="1" applyBorder="1" applyAlignment="1" applyProtection="1">
      <alignment vertical="center" wrapText="1"/>
      <protection locked="0"/>
    </xf>
    <xf numFmtId="43" fontId="5" fillId="35" borderId="46" xfId="0" applyNumberFormat="1" applyFont="1" applyFill="1" applyBorder="1" applyAlignment="1" applyProtection="1">
      <alignment vertical="center" wrapText="1"/>
      <protection locked="0"/>
    </xf>
    <xf numFmtId="0" fontId="5" fillId="35" borderId="0" xfId="0" applyFont="1" applyFill="1" applyBorder="1" applyAlignment="1" applyProtection="1">
      <alignment vertical="center" wrapText="1"/>
      <protection locked="0"/>
    </xf>
    <xf numFmtId="43" fontId="5" fillId="35" borderId="64" xfId="0" applyNumberFormat="1" applyFont="1" applyFill="1" applyBorder="1" applyAlignment="1" applyProtection="1">
      <alignment vertical="center" wrapText="1"/>
      <protection locked="0"/>
    </xf>
    <xf numFmtId="43" fontId="5" fillId="35" borderId="0" xfId="0" applyNumberFormat="1" applyFont="1" applyFill="1" applyBorder="1" applyAlignment="1" applyProtection="1">
      <alignment vertical="center" wrapText="1"/>
      <protection locked="0"/>
    </xf>
    <xf numFmtId="0" fontId="10" fillId="35" borderId="0" xfId="0" applyFont="1" applyFill="1" applyBorder="1" applyAlignment="1" applyProtection="1">
      <alignment horizontal="center" vertical="center" wrapText="1"/>
      <protection locked="0"/>
    </xf>
    <xf numFmtId="0" fontId="0" fillId="35" borderId="0" xfId="0" applyFont="1" applyFill="1" applyAlignment="1" applyProtection="1">
      <alignment vertical="center" wrapText="1"/>
      <protection hidden="1"/>
    </xf>
    <xf numFmtId="0" fontId="26" fillId="35" borderId="0" xfId="0" applyFont="1" applyFill="1" applyAlignment="1" applyProtection="1">
      <alignment horizontal="center" vertical="center" wrapText="1"/>
      <protection hidden="1"/>
    </xf>
    <xf numFmtId="0" fontId="0" fillId="35" borderId="0" xfId="0" applyFont="1" applyFill="1" applyAlignment="1" applyProtection="1">
      <alignment vertical="center" wrapText="1"/>
      <protection hidden="1"/>
    </xf>
    <xf numFmtId="0" fontId="1" fillId="35" borderId="0" xfId="0" applyFont="1" applyFill="1" applyBorder="1" applyAlignment="1" applyProtection="1">
      <alignment horizontal="center" vertical="center" wrapText="1"/>
      <protection hidden="1"/>
    </xf>
    <xf numFmtId="0" fontId="12" fillId="35" borderId="0" xfId="0" applyFont="1" applyFill="1" applyBorder="1" applyAlignment="1" applyProtection="1">
      <alignment horizontal="center" vertical="center" wrapText="1"/>
      <protection hidden="1"/>
    </xf>
    <xf numFmtId="0" fontId="0" fillId="35" borderId="0" xfId="0" applyFont="1" applyFill="1" applyAlignment="1" applyProtection="1">
      <alignment horizontal="center" vertical="center" wrapText="1"/>
      <protection hidden="1"/>
    </xf>
    <xf numFmtId="0" fontId="4" fillId="35" borderId="0" xfId="0" applyFont="1" applyFill="1" applyAlignment="1" applyProtection="1">
      <alignment vertical="center" wrapText="1"/>
      <protection hidden="1"/>
    </xf>
    <xf numFmtId="0" fontId="4" fillId="35" borderId="70" xfId="0" applyFont="1" applyFill="1" applyBorder="1" applyAlignment="1" applyProtection="1" quotePrefix="1">
      <alignment horizontal="center" vertical="center" wrapText="1"/>
      <protection hidden="1"/>
    </xf>
    <xf numFmtId="0" fontId="4" fillId="35" borderId="70" xfId="0" applyFont="1" applyFill="1" applyBorder="1" applyAlignment="1" applyProtection="1">
      <alignment horizontal="center" vertical="center" wrapText="1"/>
      <protection hidden="1"/>
    </xf>
    <xf numFmtId="0" fontId="0" fillId="35" borderId="83" xfId="0" applyFont="1" applyFill="1" applyBorder="1" applyAlignment="1" applyProtection="1">
      <alignment vertical="center" wrapText="1"/>
      <protection hidden="1"/>
    </xf>
    <xf numFmtId="43" fontId="0" fillId="35" borderId="70" xfId="45" applyFont="1" applyFill="1" applyBorder="1" applyAlignment="1" applyProtection="1">
      <alignment vertical="center" wrapText="1"/>
      <protection hidden="1"/>
    </xf>
    <xf numFmtId="43" fontId="0" fillId="35" borderId="70" xfId="45" applyFont="1" applyFill="1" applyBorder="1" applyAlignment="1" applyProtection="1">
      <alignment vertical="center" wrapText="1"/>
      <protection hidden="1"/>
    </xf>
    <xf numFmtId="43" fontId="0" fillId="35" borderId="83" xfId="45" applyFont="1" applyFill="1" applyBorder="1" applyAlignment="1" applyProtection="1">
      <alignment vertical="center" wrapText="1"/>
      <protection hidden="1"/>
    </xf>
    <xf numFmtId="43" fontId="0" fillId="35" borderId="97" xfId="45" applyFont="1" applyFill="1" applyBorder="1" applyAlignment="1" applyProtection="1">
      <alignment vertical="center" wrapText="1"/>
      <protection hidden="1"/>
    </xf>
    <xf numFmtId="43" fontId="0" fillId="35" borderId="98" xfId="45" applyFont="1" applyFill="1" applyBorder="1" applyAlignment="1" applyProtection="1">
      <alignment vertical="center" wrapText="1"/>
      <protection hidden="1"/>
    </xf>
    <xf numFmtId="43" fontId="0" fillId="35" borderId="99" xfId="45" applyFont="1" applyFill="1" applyBorder="1" applyAlignment="1" applyProtection="1">
      <alignment vertical="center" wrapText="1"/>
      <protection hidden="1"/>
    </xf>
    <xf numFmtId="0" fontId="0" fillId="35" borderId="80" xfId="0" applyFont="1" applyFill="1" applyBorder="1" applyAlignment="1" applyProtection="1">
      <alignment vertical="center" wrapText="1"/>
      <protection hidden="1"/>
    </xf>
    <xf numFmtId="0" fontId="4" fillId="35" borderId="71" xfId="0" applyFont="1" applyFill="1" applyBorder="1" applyAlignment="1" applyProtection="1" quotePrefix="1">
      <alignment horizontal="center" vertical="center" wrapText="1"/>
      <protection hidden="1"/>
    </xf>
    <xf numFmtId="0" fontId="0" fillId="35" borderId="71" xfId="0" applyFont="1" applyFill="1" applyBorder="1" applyAlignment="1" applyProtection="1" quotePrefix="1">
      <alignment horizontal="center" vertical="center" wrapText="1"/>
      <protection hidden="1"/>
    </xf>
    <xf numFmtId="43" fontId="0" fillId="35" borderId="71" xfId="45" applyFont="1" applyFill="1" applyBorder="1" applyAlignment="1" applyProtection="1">
      <alignment vertical="center" wrapText="1"/>
      <protection hidden="1"/>
    </xf>
    <xf numFmtId="43" fontId="0" fillId="35" borderId="71" xfId="45" applyFont="1" applyFill="1" applyBorder="1" applyAlignment="1" applyProtection="1">
      <alignment vertical="center" wrapText="1"/>
      <protection hidden="1"/>
    </xf>
    <xf numFmtId="43" fontId="0" fillId="35" borderId="80" xfId="45" applyFont="1" applyFill="1" applyBorder="1" applyAlignment="1" applyProtection="1">
      <alignment vertical="center" wrapText="1"/>
      <protection hidden="1"/>
    </xf>
    <xf numFmtId="43" fontId="0" fillId="35" borderId="79" xfId="45" applyFont="1" applyFill="1" applyBorder="1" applyAlignment="1" applyProtection="1">
      <alignment vertical="center" wrapText="1"/>
      <protection hidden="1"/>
    </xf>
    <xf numFmtId="0" fontId="4" fillId="35" borderId="71" xfId="0" applyFont="1" applyFill="1" applyBorder="1" applyAlignment="1" applyProtection="1">
      <alignment horizontal="center" vertical="center" wrapText="1"/>
      <protection hidden="1"/>
    </xf>
    <xf numFmtId="0" fontId="0" fillId="35" borderId="80" xfId="0" applyFont="1" applyFill="1" applyBorder="1" applyAlignment="1" applyProtection="1">
      <alignment vertical="center" wrapText="1"/>
      <protection hidden="1"/>
    </xf>
    <xf numFmtId="0" fontId="4" fillId="35" borderId="86" xfId="0" applyFont="1" applyFill="1" applyBorder="1" applyAlignment="1" applyProtection="1" quotePrefix="1">
      <alignment horizontal="center" vertical="center" wrapText="1"/>
      <protection hidden="1"/>
    </xf>
    <xf numFmtId="0" fontId="0" fillId="35" borderId="86" xfId="0" applyFont="1" applyFill="1" applyBorder="1" applyAlignment="1" applyProtection="1">
      <alignment horizontal="center" vertical="center" wrapText="1"/>
      <protection hidden="1"/>
    </xf>
    <xf numFmtId="0" fontId="4" fillId="35" borderId="86" xfId="0" applyFont="1" applyFill="1" applyBorder="1" applyAlignment="1" applyProtection="1">
      <alignment horizontal="center" vertical="center" wrapText="1"/>
      <protection hidden="1"/>
    </xf>
    <xf numFmtId="43" fontId="0" fillId="35" borderId="86" xfId="45" applyFont="1" applyFill="1" applyBorder="1" applyAlignment="1" applyProtection="1">
      <alignment vertical="center" wrapText="1"/>
      <protection hidden="1"/>
    </xf>
    <xf numFmtId="43" fontId="0" fillId="35" borderId="86" xfId="45" applyFont="1" applyFill="1" applyBorder="1" applyAlignment="1" applyProtection="1">
      <alignment vertical="center" wrapText="1"/>
      <protection hidden="1"/>
    </xf>
    <xf numFmtId="43" fontId="0" fillId="35" borderId="87" xfId="45" applyFont="1" applyFill="1" applyBorder="1" applyAlignment="1" applyProtection="1">
      <alignment vertical="center" wrapText="1"/>
      <protection hidden="1"/>
    </xf>
    <xf numFmtId="43" fontId="0" fillId="35" borderId="100" xfId="45" applyFont="1" applyFill="1" applyBorder="1" applyAlignment="1" applyProtection="1">
      <alignment vertical="center" wrapText="1"/>
      <protection hidden="1"/>
    </xf>
    <xf numFmtId="0" fontId="0" fillId="35" borderId="86" xfId="0" applyFont="1" applyFill="1" applyBorder="1" applyAlignment="1" applyProtection="1" quotePrefix="1">
      <alignment horizontal="center" vertical="center" wrapText="1"/>
      <protection hidden="1"/>
    </xf>
    <xf numFmtId="0" fontId="0" fillId="35" borderId="88" xfId="0" applyFont="1" applyFill="1" applyBorder="1" applyAlignment="1" applyProtection="1">
      <alignment vertical="center" wrapText="1"/>
      <protection hidden="1"/>
    </xf>
    <xf numFmtId="43" fontId="0" fillId="35" borderId="101" xfId="45" applyFont="1" applyFill="1" applyBorder="1" applyAlignment="1" applyProtection="1">
      <alignment vertical="center" wrapText="1"/>
      <protection hidden="1"/>
    </xf>
    <xf numFmtId="43" fontId="0" fillId="35" borderId="102" xfId="45" applyFont="1" applyFill="1" applyBorder="1" applyAlignment="1" applyProtection="1">
      <alignment vertical="center" wrapText="1"/>
      <protection hidden="1"/>
    </xf>
    <xf numFmtId="43" fontId="4" fillId="35" borderId="28" xfId="45" applyFont="1" applyFill="1" applyBorder="1" applyAlignment="1" applyProtection="1">
      <alignment vertical="center" wrapText="1"/>
      <protection hidden="1"/>
    </xf>
    <xf numFmtId="43" fontId="4" fillId="35" borderId="28" xfId="0" applyNumberFormat="1" applyFont="1" applyFill="1" applyBorder="1" applyAlignment="1" applyProtection="1">
      <alignment vertical="center" wrapText="1"/>
      <protection hidden="1"/>
    </xf>
    <xf numFmtId="43" fontId="4" fillId="35" borderId="42" xfId="0" applyNumberFormat="1" applyFont="1" applyFill="1" applyBorder="1" applyAlignment="1" applyProtection="1">
      <alignment vertical="center" wrapText="1"/>
      <protection hidden="1"/>
    </xf>
    <xf numFmtId="0" fontId="0" fillId="35" borderId="87" xfId="0" applyFont="1" applyFill="1" applyBorder="1" applyAlignment="1" applyProtection="1">
      <alignment vertical="center" wrapText="1"/>
      <protection hidden="1"/>
    </xf>
    <xf numFmtId="0" fontId="0" fillId="35" borderId="87" xfId="0" applyFont="1" applyFill="1" applyBorder="1" applyAlignment="1" applyProtection="1">
      <alignment vertical="center" wrapText="1"/>
      <protection hidden="1"/>
    </xf>
    <xf numFmtId="43" fontId="4" fillId="35" borderId="42" xfId="45" applyFont="1" applyFill="1" applyBorder="1" applyAlignment="1" applyProtection="1">
      <alignment vertical="center" wrapText="1"/>
      <protection hidden="1"/>
    </xf>
    <xf numFmtId="0" fontId="4" fillId="35" borderId="90" xfId="0" applyFont="1" applyFill="1" applyBorder="1" applyAlignment="1" applyProtection="1" quotePrefix="1">
      <alignment horizontal="center" vertical="center" wrapText="1"/>
      <protection hidden="1"/>
    </xf>
    <xf numFmtId="43" fontId="0" fillId="35" borderId="88" xfId="45" applyFont="1" applyFill="1" applyBorder="1" applyAlignment="1" applyProtection="1">
      <alignment vertical="center" wrapText="1"/>
      <protection hidden="1"/>
    </xf>
    <xf numFmtId="0" fontId="0" fillId="35" borderId="88" xfId="0" applyFont="1" applyFill="1" applyBorder="1" applyAlignment="1" applyProtection="1">
      <alignment vertical="center" wrapText="1"/>
      <protection hidden="1"/>
    </xf>
    <xf numFmtId="43" fontId="0" fillId="35" borderId="90" xfId="45" applyFont="1" applyFill="1" applyBorder="1" applyAlignment="1" applyProtection="1">
      <alignment vertical="center" wrapText="1"/>
      <protection hidden="1"/>
    </xf>
    <xf numFmtId="43" fontId="0" fillId="35" borderId="0" xfId="45" applyFont="1" applyFill="1" applyBorder="1" applyAlignment="1" applyProtection="1">
      <alignment vertical="center" wrapText="1"/>
      <protection hidden="1"/>
    </xf>
    <xf numFmtId="0" fontId="4" fillId="35" borderId="103" xfId="0" applyFont="1" applyFill="1" applyBorder="1" applyAlignment="1" applyProtection="1">
      <alignment horizontal="center" vertical="center" wrapText="1"/>
      <protection hidden="1"/>
    </xf>
    <xf numFmtId="0" fontId="4" fillId="35" borderId="98" xfId="0" applyFont="1" applyFill="1" applyBorder="1" applyAlignment="1" applyProtection="1" quotePrefix="1">
      <alignment horizontal="center" vertical="center" wrapText="1"/>
      <protection hidden="1"/>
    </xf>
    <xf numFmtId="0" fontId="0" fillId="35" borderId="98" xfId="0" applyFont="1" applyFill="1" applyBorder="1" applyAlignment="1" applyProtection="1">
      <alignment horizontal="center" vertical="center" wrapText="1"/>
      <protection hidden="1"/>
    </xf>
    <xf numFmtId="43" fontId="0" fillId="35" borderId="62" xfId="45" applyFont="1" applyFill="1" applyBorder="1" applyAlignment="1" applyProtection="1">
      <alignment vertical="center" wrapText="1"/>
      <protection hidden="1"/>
    </xf>
    <xf numFmtId="0" fontId="0" fillId="35" borderId="90" xfId="0" applyFont="1" applyFill="1" applyBorder="1" applyAlignment="1" applyProtection="1">
      <alignment vertical="center" wrapText="1"/>
      <protection hidden="1"/>
    </xf>
    <xf numFmtId="43" fontId="0" fillId="35" borderId="104" xfId="45" applyFont="1" applyFill="1" applyBorder="1" applyAlignment="1" applyProtection="1">
      <alignment vertical="center" wrapText="1"/>
      <protection hidden="1"/>
    </xf>
    <xf numFmtId="0" fontId="3" fillId="35" borderId="0" xfId="0" applyFont="1" applyFill="1" applyAlignment="1" applyProtection="1">
      <alignment vertical="center" wrapText="1"/>
      <protection hidden="1"/>
    </xf>
    <xf numFmtId="0" fontId="2" fillId="35" borderId="0" xfId="0" applyFont="1" applyFill="1" applyAlignment="1" applyProtection="1">
      <alignment vertical="center" wrapText="1"/>
      <protection hidden="1"/>
    </xf>
    <xf numFmtId="0" fontId="0" fillId="35" borderId="83" xfId="0" applyFont="1" applyFill="1" applyBorder="1" applyAlignment="1" applyProtection="1">
      <alignment vertical="center" wrapText="1"/>
      <protection hidden="1"/>
    </xf>
    <xf numFmtId="0" fontId="0" fillId="35" borderId="97" xfId="0" applyFont="1" applyFill="1" applyBorder="1" applyAlignment="1" applyProtection="1">
      <alignment vertical="center" wrapText="1"/>
      <protection hidden="1"/>
    </xf>
    <xf numFmtId="0" fontId="0" fillId="35" borderId="71" xfId="0" applyFont="1" applyFill="1" applyBorder="1" applyAlignment="1" applyProtection="1">
      <alignment horizontal="left" vertical="center" wrapText="1"/>
      <protection hidden="1"/>
    </xf>
    <xf numFmtId="0" fontId="26" fillId="35" borderId="90" xfId="0" applyFont="1" applyFill="1" applyBorder="1" applyAlignment="1" applyProtection="1">
      <alignment horizontal="center" vertical="center" wrapText="1"/>
      <protection hidden="1"/>
    </xf>
    <xf numFmtId="43" fontId="0" fillId="35" borderId="80" xfId="45" applyFont="1" applyFill="1" applyBorder="1" applyAlignment="1" applyProtection="1">
      <alignment vertical="center" wrapText="1"/>
      <protection hidden="1"/>
    </xf>
    <xf numFmtId="0" fontId="0" fillId="35" borderId="70" xfId="0" applyFont="1" applyFill="1" applyBorder="1" applyAlignment="1" applyProtection="1">
      <alignment horizontal="left" vertical="center" wrapText="1"/>
      <protection hidden="1"/>
    </xf>
    <xf numFmtId="43" fontId="0" fillId="35" borderId="83" xfId="45" applyFont="1" applyFill="1" applyBorder="1" applyAlignment="1" applyProtection="1">
      <alignment vertical="center" wrapText="1"/>
      <protection hidden="1"/>
    </xf>
    <xf numFmtId="43" fontId="0" fillId="35" borderId="97" xfId="45" applyFont="1" applyFill="1" applyBorder="1" applyAlignment="1" applyProtection="1">
      <alignment vertical="center" wrapText="1"/>
      <protection hidden="1"/>
    </xf>
    <xf numFmtId="43" fontId="0" fillId="35" borderId="99" xfId="45" applyFont="1" applyFill="1" applyBorder="1" applyAlignment="1" applyProtection="1">
      <alignment vertical="center" wrapText="1"/>
      <protection hidden="1"/>
    </xf>
    <xf numFmtId="43" fontId="0" fillId="35" borderId="0" xfId="45" applyFont="1" applyFill="1" applyBorder="1" applyAlignment="1" applyProtection="1">
      <alignment vertical="center" wrapText="1"/>
      <protection hidden="1"/>
    </xf>
    <xf numFmtId="43" fontId="0" fillId="35" borderId="87" xfId="45" applyFont="1" applyFill="1" applyBorder="1" applyAlignment="1" applyProtection="1">
      <alignment vertical="center" wrapText="1"/>
      <protection hidden="1"/>
    </xf>
    <xf numFmtId="43" fontId="0" fillId="35" borderId="102" xfId="45" applyFont="1" applyFill="1" applyBorder="1" applyAlignment="1" applyProtection="1">
      <alignment vertical="center" wrapText="1"/>
      <protection hidden="1"/>
    </xf>
    <xf numFmtId="43" fontId="0" fillId="35" borderId="100" xfId="45" applyFont="1" applyFill="1" applyBorder="1" applyAlignment="1" applyProtection="1">
      <alignment vertical="center" wrapText="1"/>
      <protection hidden="1"/>
    </xf>
    <xf numFmtId="0" fontId="1" fillId="35" borderId="21" xfId="0" applyFont="1" applyFill="1" applyBorder="1" applyAlignment="1" applyProtection="1">
      <alignment horizontal="center" vertical="center" wrapText="1"/>
      <protection hidden="1"/>
    </xf>
    <xf numFmtId="0" fontId="0" fillId="35" borderId="105" xfId="0" applyFont="1" applyFill="1" applyBorder="1" applyAlignment="1" applyProtection="1">
      <alignment horizontal="center" vertical="center" wrapText="1"/>
      <protection hidden="1"/>
    </xf>
    <xf numFmtId="0" fontId="4" fillId="35" borderId="15" xfId="0" applyFont="1" applyFill="1" applyBorder="1" applyAlignment="1" applyProtection="1">
      <alignment horizontal="center" vertical="center" wrapText="1"/>
      <protection hidden="1"/>
    </xf>
    <xf numFmtId="0" fontId="0" fillId="35" borderId="77" xfId="0" applyFont="1" applyFill="1" applyBorder="1" applyAlignment="1" applyProtection="1">
      <alignment horizontal="center" vertical="center" wrapText="1"/>
      <protection hidden="1"/>
    </xf>
    <xf numFmtId="0" fontId="0" fillId="35" borderId="0" xfId="0" applyFont="1" applyFill="1" applyBorder="1" applyAlignment="1" applyProtection="1">
      <alignment vertical="center" wrapText="1"/>
      <protection hidden="1"/>
    </xf>
    <xf numFmtId="0" fontId="0" fillId="35" borderId="106" xfId="0" applyFont="1" applyFill="1" applyBorder="1" applyAlignment="1" applyProtection="1">
      <alignment horizontal="center" vertical="center" wrapText="1"/>
      <protection hidden="1"/>
    </xf>
    <xf numFmtId="0" fontId="0" fillId="35" borderId="107" xfId="0" applyFont="1" applyFill="1" applyBorder="1" applyAlignment="1" applyProtection="1">
      <alignment horizontal="center" vertical="center" wrapText="1"/>
      <protection hidden="1"/>
    </xf>
    <xf numFmtId="0" fontId="4" fillId="35" borderId="107" xfId="0" applyFont="1" applyFill="1" applyBorder="1" applyAlignment="1" applyProtection="1">
      <alignment horizontal="center" vertical="center" wrapText="1"/>
      <protection hidden="1"/>
    </xf>
    <xf numFmtId="0" fontId="0" fillId="35" borderId="107" xfId="0" applyFont="1" applyFill="1" applyBorder="1" applyAlignment="1" applyProtection="1">
      <alignment horizontal="left" vertical="center" wrapText="1"/>
      <protection hidden="1"/>
    </xf>
    <xf numFmtId="0" fontId="1" fillId="35" borderId="96" xfId="0" applyFont="1" applyFill="1" applyBorder="1" applyAlignment="1" applyProtection="1">
      <alignment horizontal="center" vertical="center" wrapText="1"/>
      <protection hidden="1"/>
    </xf>
    <xf numFmtId="0" fontId="1" fillId="35" borderId="76" xfId="0" applyFont="1" applyFill="1" applyBorder="1" applyAlignment="1" applyProtection="1">
      <alignment horizontal="center" vertical="center" wrapText="1"/>
      <protection hidden="1"/>
    </xf>
    <xf numFmtId="43" fontId="3" fillId="35" borderId="76" xfId="45" applyFont="1" applyFill="1" applyBorder="1" applyAlignment="1" applyProtection="1">
      <alignment vertical="center" wrapText="1"/>
      <protection hidden="1"/>
    </xf>
    <xf numFmtId="0" fontId="4" fillId="35" borderId="13" xfId="0" applyFont="1" applyFill="1" applyBorder="1" applyAlignment="1" applyProtection="1">
      <alignment horizontal="center" vertical="center" wrapText="1"/>
      <protection hidden="1"/>
    </xf>
    <xf numFmtId="43" fontId="4" fillId="35" borderId="12" xfId="45" applyFont="1" applyFill="1" applyBorder="1" applyAlignment="1" applyProtection="1">
      <alignment horizontal="right" vertical="center" wrapText="1"/>
      <protection hidden="1"/>
    </xf>
    <xf numFmtId="43" fontId="4" fillId="35" borderId="49" xfId="45" applyFont="1" applyFill="1" applyBorder="1" applyAlignment="1" applyProtection="1">
      <alignment horizontal="right" vertical="center" wrapText="1"/>
      <protection hidden="1"/>
    </xf>
    <xf numFmtId="43" fontId="4" fillId="35" borderId="51" xfId="45" applyFont="1" applyFill="1" applyBorder="1" applyAlignment="1" applyProtection="1">
      <alignment horizontal="right" vertical="center" wrapText="1"/>
      <protection hidden="1"/>
    </xf>
    <xf numFmtId="0" fontId="0" fillId="35" borderId="15" xfId="0" applyFont="1" applyFill="1" applyBorder="1" applyAlignment="1" applyProtection="1">
      <alignment horizontal="center" vertical="center" wrapText="1"/>
      <protection hidden="1"/>
    </xf>
    <xf numFmtId="0" fontId="1" fillId="35" borderId="0" xfId="0" applyFont="1" applyFill="1" applyAlignment="1" applyProtection="1">
      <alignment vertical="center" wrapText="1"/>
      <protection hidden="1"/>
    </xf>
    <xf numFmtId="0" fontId="2" fillId="35" borderId="0" xfId="0" applyFont="1" applyFill="1" applyBorder="1" applyAlignment="1" applyProtection="1">
      <alignment vertical="center" wrapText="1"/>
      <protection hidden="1"/>
    </xf>
    <xf numFmtId="0" fontId="6" fillId="35" borderId="21" xfId="0" applyFont="1" applyFill="1" applyBorder="1" applyAlignment="1" applyProtection="1">
      <alignment horizontal="center" vertical="center" wrapText="1"/>
      <protection hidden="1"/>
    </xf>
    <xf numFmtId="0" fontId="6" fillId="35" borderId="0" xfId="0" applyFont="1" applyFill="1" applyBorder="1" applyAlignment="1" applyProtection="1">
      <alignment horizontal="center" vertical="center" wrapText="1"/>
      <protection hidden="1"/>
    </xf>
    <xf numFmtId="0" fontId="6" fillId="35" borderId="0" xfId="0" applyFont="1" applyFill="1" applyBorder="1" applyAlignment="1" applyProtection="1">
      <alignment vertical="center" wrapText="1"/>
      <protection hidden="1"/>
    </xf>
    <xf numFmtId="0" fontId="0" fillId="35" borderId="0" xfId="0" applyFont="1" applyFill="1" applyAlignment="1" applyProtection="1">
      <alignment horizontal="center" vertical="center" wrapText="1"/>
      <protection hidden="1"/>
    </xf>
    <xf numFmtId="0" fontId="4" fillId="35" borderId="0" xfId="0" applyFont="1" applyFill="1" applyAlignment="1" applyProtection="1">
      <alignment horizontal="center" vertical="center" wrapText="1"/>
      <protection hidden="1"/>
    </xf>
    <xf numFmtId="0" fontId="12" fillId="35" borderId="0" xfId="0" applyFont="1" applyFill="1" applyAlignment="1" applyProtection="1">
      <alignment horizontal="center" vertical="center" wrapText="1"/>
      <protection hidden="1"/>
    </xf>
    <xf numFmtId="43" fontId="0" fillId="35" borderId="10" xfId="45" applyFont="1" applyFill="1" applyBorder="1" applyAlignment="1">
      <alignment vertical="center"/>
    </xf>
    <xf numFmtId="43" fontId="0" fillId="35" borderId="10" xfId="45" applyFont="1" applyFill="1" applyBorder="1" applyAlignment="1">
      <alignment horizontal="center" vertical="center"/>
    </xf>
    <xf numFmtId="0" fontId="0" fillId="35" borderId="71" xfId="0" applyFont="1" applyFill="1" applyBorder="1" applyAlignment="1" applyProtection="1">
      <alignment vertical="center" wrapText="1"/>
      <protection hidden="1"/>
    </xf>
    <xf numFmtId="0" fontId="1" fillId="0" borderId="0" xfId="0" applyFont="1" applyFill="1" applyBorder="1" applyAlignment="1" applyProtection="1">
      <alignment horizontal="center" vertical="center" wrapText="1"/>
      <protection hidden="1"/>
    </xf>
    <xf numFmtId="0" fontId="0" fillId="0" borderId="13" xfId="0" applyFont="1" applyFill="1" applyBorder="1" applyAlignment="1" applyProtection="1">
      <alignment horizontal="center" vertical="center" wrapText="1"/>
      <protection hidden="1"/>
    </xf>
    <xf numFmtId="43" fontId="0" fillId="0" borderId="70" xfId="45" applyFont="1" applyFill="1" applyBorder="1" applyAlignment="1" applyProtection="1">
      <alignment vertical="center" wrapText="1"/>
      <protection hidden="1"/>
    </xf>
    <xf numFmtId="43" fontId="0" fillId="0" borderId="71" xfId="45" applyFont="1" applyFill="1" applyBorder="1" applyAlignment="1" applyProtection="1">
      <alignment vertical="center" wrapText="1"/>
      <protection hidden="1"/>
    </xf>
    <xf numFmtId="43" fontId="0" fillId="0" borderId="71" xfId="45" applyFont="1" applyFill="1" applyBorder="1" applyAlignment="1" applyProtection="1">
      <alignment vertical="center" wrapText="1"/>
      <protection hidden="1"/>
    </xf>
    <xf numFmtId="43" fontId="0" fillId="0" borderId="86" xfId="45" applyFont="1" applyFill="1" applyBorder="1" applyAlignment="1" applyProtection="1">
      <alignment vertical="center" wrapText="1"/>
      <protection hidden="1"/>
    </xf>
    <xf numFmtId="43" fontId="4" fillId="0" borderId="28" xfId="0" applyNumberFormat="1" applyFont="1" applyFill="1" applyBorder="1" applyAlignment="1" applyProtection="1">
      <alignment vertical="center" wrapText="1"/>
      <protection hidden="1"/>
    </xf>
    <xf numFmtId="43" fontId="0" fillId="0" borderId="70" xfId="45" applyFont="1" applyFill="1" applyBorder="1" applyAlignment="1" applyProtection="1">
      <alignment vertical="center" wrapText="1"/>
      <protection hidden="1"/>
    </xf>
    <xf numFmtId="43" fontId="4" fillId="0" borderId="28" xfId="45" applyFont="1" applyFill="1" applyBorder="1" applyAlignment="1" applyProtection="1">
      <alignment vertical="center" wrapText="1"/>
      <protection hidden="1"/>
    </xf>
    <xf numFmtId="43" fontId="0" fillId="0" borderId="70" xfId="45" applyFont="1" applyFill="1" applyBorder="1" applyAlignment="1" applyProtection="1">
      <alignment vertical="center" wrapText="1"/>
      <protection hidden="1"/>
    </xf>
    <xf numFmtId="43" fontId="0" fillId="0" borderId="86" xfId="45" applyFont="1" applyFill="1" applyBorder="1" applyAlignment="1" applyProtection="1">
      <alignment vertical="center" wrapText="1"/>
      <protection hidden="1"/>
    </xf>
    <xf numFmtId="43" fontId="0" fillId="0" borderId="90" xfId="45" applyFont="1" applyFill="1" applyBorder="1" applyAlignment="1" applyProtection="1">
      <alignment vertical="center" wrapText="1"/>
      <protection hidden="1"/>
    </xf>
    <xf numFmtId="43" fontId="4" fillId="0" borderId="12" xfId="0" applyNumberFormat="1" applyFont="1" applyFill="1" applyBorder="1" applyAlignment="1" applyProtection="1">
      <alignment vertical="center" wrapText="1"/>
      <protection hidden="1"/>
    </xf>
    <xf numFmtId="43" fontId="4" fillId="0" borderId="38" xfId="45" applyFont="1" applyFill="1" applyBorder="1" applyAlignment="1" applyProtection="1">
      <alignment vertical="center" wrapText="1"/>
      <protection hidden="1"/>
    </xf>
    <xf numFmtId="43" fontId="4" fillId="0" borderId="46" xfId="45" applyFont="1" applyFill="1" applyBorder="1" applyAlignment="1" applyProtection="1">
      <alignment vertical="center" wrapText="1"/>
      <protection hidden="1"/>
    </xf>
    <xf numFmtId="43" fontId="0" fillId="0" borderId="86" xfId="45" applyFont="1" applyFill="1" applyBorder="1" applyAlignment="1" applyProtection="1">
      <alignment vertical="center" wrapText="1"/>
      <protection hidden="1"/>
    </xf>
    <xf numFmtId="43" fontId="0" fillId="0" borderId="90" xfId="45" applyFont="1" applyFill="1" applyBorder="1" applyAlignment="1" applyProtection="1">
      <alignment vertical="center" wrapText="1"/>
      <protection hidden="1"/>
    </xf>
    <xf numFmtId="43" fontId="0" fillId="0" borderId="98" xfId="45" applyFont="1" applyFill="1" applyBorder="1" applyAlignment="1" applyProtection="1">
      <alignment vertical="center" wrapText="1"/>
      <protection hidden="1"/>
    </xf>
    <xf numFmtId="43" fontId="4" fillId="0" borderId="46" xfId="0" applyNumberFormat="1" applyFont="1" applyFill="1" applyBorder="1" applyAlignment="1" applyProtection="1">
      <alignment vertical="center" wrapText="1"/>
      <protection hidden="1"/>
    </xf>
    <xf numFmtId="0" fontId="0" fillId="0" borderId="13" xfId="0" applyFont="1" applyFill="1" applyBorder="1" applyAlignment="1" applyProtection="1">
      <alignment horizontal="center" vertical="center" wrapText="1"/>
      <protection hidden="1"/>
    </xf>
    <xf numFmtId="43" fontId="0" fillId="0" borderId="70" xfId="0" applyNumberFormat="1" applyFont="1" applyFill="1" applyBorder="1" applyAlignment="1" applyProtection="1">
      <alignment vertical="center" wrapText="1"/>
      <protection hidden="1"/>
    </xf>
    <xf numFmtId="43" fontId="0" fillId="0" borderId="90" xfId="0" applyNumberFormat="1" applyFont="1" applyFill="1" applyBorder="1" applyAlignment="1" applyProtection="1">
      <alignment vertical="center" wrapText="1"/>
      <protection hidden="1"/>
    </xf>
    <xf numFmtId="43" fontId="3" fillId="0" borderId="0" xfId="45" applyFont="1" applyFill="1" applyBorder="1" applyAlignment="1" applyProtection="1">
      <alignment vertical="center" wrapText="1"/>
      <protection hidden="1"/>
    </xf>
    <xf numFmtId="0" fontId="0" fillId="0" borderId="15" xfId="0" applyFont="1" applyFill="1" applyBorder="1" applyAlignment="1" applyProtection="1">
      <alignment horizontal="center" vertical="center" wrapText="1"/>
      <protection hidden="1"/>
    </xf>
    <xf numFmtId="43" fontId="0" fillId="0" borderId="90" xfId="45" applyFont="1" applyFill="1" applyBorder="1" applyAlignment="1" applyProtection="1">
      <alignment vertical="center" wrapText="1"/>
      <protection hidden="1"/>
    </xf>
    <xf numFmtId="43" fontId="3" fillId="0" borderId="76" xfId="45" applyFont="1" applyFill="1" applyBorder="1" applyAlignment="1" applyProtection="1">
      <alignment vertical="center" wrapText="1"/>
      <protection hidden="1"/>
    </xf>
    <xf numFmtId="43" fontId="0" fillId="0" borderId="86" xfId="45" applyFont="1" applyFill="1" applyBorder="1" applyAlignment="1" applyProtection="1">
      <alignment horizontal="right" vertical="center" wrapText="1"/>
      <protection hidden="1"/>
    </xf>
    <xf numFmtId="43" fontId="4" fillId="0" borderId="12" xfId="45" applyFont="1" applyFill="1" applyBorder="1" applyAlignment="1" applyProtection="1">
      <alignment horizontal="right" vertical="center" wrapText="1"/>
      <protection hidden="1"/>
    </xf>
    <xf numFmtId="43" fontId="6" fillId="0" borderId="108" xfId="45" applyFont="1" applyFill="1" applyBorder="1" applyAlignment="1" applyProtection="1">
      <alignment vertical="center" wrapText="1"/>
      <protection hidden="1"/>
    </xf>
    <xf numFmtId="43" fontId="5" fillId="0" borderId="46" xfId="45" applyFont="1" applyFill="1" applyBorder="1" applyAlignment="1" applyProtection="1">
      <alignment vertical="center" wrapText="1"/>
      <protection hidden="1"/>
    </xf>
    <xf numFmtId="43" fontId="0" fillId="0" borderId="0" xfId="45" applyFont="1" applyFill="1" applyAlignment="1" applyProtection="1">
      <alignment vertical="center" wrapText="1"/>
      <protection hidden="1"/>
    </xf>
    <xf numFmtId="0" fontId="0" fillId="0" borderId="0" xfId="0" applyFont="1" applyFill="1" applyAlignment="1" applyProtection="1">
      <alignment vertical="center" wrapText="1"/>
      <protection hidden="1"/>
    </xf>
    <xf numFmtId="0" fontId="4" fillId="35" borderId="109" xfId="0" applyFont="1" applyFill="1" applyBorder="1" applyAlignment="1" applyProtection="1">
      <alignment horizontal="center" vertical="center" wrapText="1"/>
      <protection hidden="1"/>
    </xf>
    <xf numFmtId="0" fontId="4" fillId="35" borderId="110" xfId="0" applyFont="1" applyFill="1" applyBorder="1" applyAlignment="1" applyProtection="1">
      <alignment horizontal="center" vertical="center" wrapText="1"/>
      <protection hidden="1"/>
    </xf>
    <xf numFmtId="0" fontId="0" fillId="35" borderId="110" xfId="0" applyFont="1" applyFill="1" applyBorder="1" applyAlignment="1" applyProtection="1">
      <alignment horizontal="center" vertical="center" wrapText="1"/>
      <protection hidden="1"/>
    </xf>
    <xf numFmtId="0" fontId="0" fillId="35" borderId="111" xfId="0" applyFont="1" applyFill="1" applyBorder="1" applyAlignment="1" applyProtection="1">
      <alignment vertical="center" wrapText="1"/>
      <protection hidden="1"/>
    </xf>
    <xf numFmtId="43" fontId="0" fillId="35" borderId="110" xfId="45" applyFont="1" applyFill="1" applyBorder="1" applyAlignment="1" applyProtection="1">
      <alignment vertical="center" wrapText="1"/>
      <protection hidden="1"/>
    </xf>
    <xf numFmtId="43" fontId="0" fillId="0" borderId="110" xfId="45" applyFont="1" applyFill="1" applyBorder="1" applyAlignment="1" applyProtection="1">
      <alignment vertical="center" wrapText="1"/>
      <protection hidden="1"/>
    </xf>
    <xf numFmtId="43" fontId="0" fillId="35" borderId="110" xfId="45" applyFont="1" applyFill="1" applyBorder="1" applyAlignment="1" applyProtection="1">
      <alignment vertical="center" wrapText="1"/>
      <protection hidden="1"/>
    </xf>
    <xf numFmtId="43" fontId="0" fillId="35" borderId="111" xfId="45" applyFont="1" applyFill="1" applyBorder="1" applyAlignment="1" applyProtection="1">
      <alignment vertical="center" wrapText="1"/>
      <protection hidden="1"/>
    </xf>
    <xf numFmtId="43" fontId="4" fillId="0" borderId="42" xfId="45" applyFont="1" applyFill="1" applyBorder="1" applyAlignment="1" applyProtection="1">
      <alignment vertical="center" wrapText="1"/>
      <protection hidden="1"/>
    </xf>
    <xf numFmtId="43" fontId="4" fillId="0" borderId="112" xfId="45" applyFont="1" applyFill="1" applyBorder="1" applyAlignment="1" applyProtection="1">
      <alignment vertical="center" wrapText="1"/>
      <protection hidden="1"/>
    </xf>
    <xf numFmtId="43" fontId="0" fillId="0" borderId="80" xfId="45" applyFont="1" applyFill="1" applyBorder="1" applyAlignment="1" applyProtection="1">
      <alignment vertical="center" wrapText="1"/>
      <protection locked="0"/>
    </xf>
    <xf numFmtId="43" fontId="0" fillId="0" borderId="71" xfId="45" applyFont="1" applyFill="1" applyBorder="1" applyAlignment="1" applyProtection="1">
      <alignment vertical="center" wrapText="1"/>
      <protection locked="0"/>
    </xf>
    <xf numFmtId="43" fontId="0" fillId="0" borderId="113" xfId="45" applyFont="1" applyFill="1" applyBorder="1" applyAlignment="1" applyProtection="1">
      <alignment vertical="center" wrapText="1"/>
      <protection locked="0"/>
    </xf>
    <xf numFmtId="0" fontId="0" fillId="0" borderId="0" xfId="0" applyFont="1" applyFill="1" applyAlignment="1" applyProtection="1">
      <alignment vertical="center" wrapText="1"/>
      <protection hidden="1"/>
    </xf>
    <xf numFmtId="43" fontId="0" fillId="0" borderId="80" xfId="45" applyFont="1" applyFill="1" applyBorder="1" applyAlignment="1" applyProtection="1">
      <alignment vertical="center" wrapText="1"/>
      <protection hidden="1"/>
    </xf>
    <xf numFmtId="43" fontId="0" fillId="0" borderId="87" xfId="45" applyFont="1" applyFill="1" applyBorder="1" applyAlignment="1" applyProtection="1">
      <alignment vertical="center" wrapText="1"/>
      <protection hidden="1"/>
    </xf>
    <xf numFmtId="0" fontId="6" fillId="0" borderId="0" xfId="0" applyFont="1" applyFill="1" applyBorder="1" applyAlignment="1" applyProtection="1">
      <alignment vertical="center" wrapText="1"/>
      <protection hidden="1"/>
    </xf>
    <xf numFmtId="43" fontId="0" fillId="0" borderId="79" xfId="45" applyFont="1" applyFill="1" applyBorder="1" applyAlignment="1" applyProtection="1">
      <alignment vertical="center" wrapText="1"/>
      <protection hidden="1"/>
    </xf>
    <xf numFmtId="43" fontId="0" fillId="0" borderId="113" xfId="45" applyFont="1" applyFill="1" applyBorder="1" applyAlignment="1" applyProtection="1">
      <alignment vertical="center" wrapText="1"/>
      <protection hidden="1"/>
    </xf>
    <xf numFmtId="43" fontId="0" fillId="0" borderId="97" xfId="45" applyFont="1" applyFill="1" applyBorder="1" applyAlignment="1" applyProtection="1">
      <alignment vertical="center" wrapText="1"/>
      <protection hidden="1"/>
    </xf>
    <xf numFmtId="43" fontId="0" fillId="0" borderId="99" xfId="45" applyFont="1" applyFill="1" applyBorder="1" applyAlignment="1" applyProtection="1">
      <alignment vertical="center" wrapText="1"/>
      <protection hidden="1"/>
    </xf>
    <xf numFmtId="43" fontId="0" fillId="0" borderId="114" xfId="45" applyFont="1" applyFill="1" applyBorder="1" applyAlignment="1" applyProtection="1">
      <alignment vertical="center" wrapText="1"/>
      <protection hidden="1"/>
    </xf>
    <xf numFmtId="0" fontId="4" fillId="0" borderId="85" xfId="0" applyFont="1" applyFill="1" applyBorder="1" applyAlignment="1" applyProtection="1">
      <alignment horizontal="center" vertical="center" wrapText="1"/>
      <protection hidden="1"/>
    </xf>
    <xf numFmtId="0" fontId="4" fillId="0" borderId="86" xfId="0" applyFont="1" applyFill="1" applyBorder="1" applyAlignment="1" applyProtection="1" quotePrefix="1">
      <alignment horizontal="center" vertical="center" wrapText="1"/>
      <protection hidden="1"/>
    </xf>
    <xf numFmtId="0" fontId="0" fillId="0" borderId="86" xfId="0" applyFont="1" applyFill="1" applyBorder="1" applyAlignment="1" applyProtection="1">
      <alignment horizontal="center" vertical="center" wrapText="1"/>
      <protection hidden="1"/>
    </xf>
    <xf numFmtId="0" fontId="0" fillId="0" borderId="87" xfId="0" applyFont="1" applyFill="1" applyBorder="1" applyAlignment="1" applyProtection="1">
      <alignment vertical="center" wrapText="1"/>
      <protection hidden="1"/>
    </xf>
    <xf numFmtId="43" fontId="26" fillId="0" borderId="70" xfId="45" applyFont="1" applyFill="1" applyBorder="1" applyAlignment="1" applyProtection="1">
      <alignment horizontal="center" vertical="center" wrapText="1"/>
      <protection hidden="1"/>
    </xf>
    <xf numFmtId="43" fontId="0" fillId="0" borderId="87" xfId="45" applyFont="1" applyFill="1" applyBorder="1" applyAlignment="1" applyProtection="1">
      <alignment vertical="center" wrapText="1"/>
      <protection hidden="1"/>
    </xf>
    <xf numFmtId="43" fontId="0" fillId="0" borderId="100" xfId="45" applyFont="1" applyFill="1" applyBorder="1" applyAlignment="1" applyProtection="1">
      <alignment vertical="center" wrapText="1"/>
      <protection hidden="1"/>
    </xf>
    <xf numFmtId="43" fontId="0" fillId="0" borderId="97" xfId="45" applyFont="1" applyFill="1" applyBorder="1" applyAlignment="1" applyProtection="1">
      <alignment vertical="center" wrapText="1"/>
      <protection hidden="1"/>
    </xf>
    <xf numFmtId="43" fontId="0" fillId="0" borderId="99" xfId="45" applyFont="1" applyFill="1" applyBorder="1" applyAlignment="1" applyProtection="1">
      <alignment vertical="center" wrapText="1"/>
      <protection hidden="1"/>
    </xf>
    <xf numFmtId="43" fontId="0" fillId="0" borderId="114" xfId="45" applyFont="1" applyFill="1" applyBorder="1" applyAlignment="1" applyProtection="1">
      <alignment vertical="center" wrapText="1"/>
      <protection hidden="1"/>
    </xf>
    <xf numFmtId="43" fontId="0" fillId="0" borderId="80" xfId="45" applyFont="1" applyFill="1" applyBorder="1" applyAlignment="1" applyProtection="1">
      <alignment vertical="center" wrapText="1"/>
      <protection hidden="1"/>
    </xf>
    <xf numFmtId="43" fontId="0" fillId="0" borderId="79" xfId="45" applyFont="1" applyFill="1" applyBorder="1" applyAlignment="1" applyProtection="1">
      <alignment vertical="center" wrapText="1"/>
      <protection hidden="1"/>
    </xf>
    <xf numFmtId="43" fontId="0" fillId="0" borderId="113" xfId="45" applyFont="1" applyFill="1" applyBorder="1" applyAlignment="1" applyProtection="1">
      <alignment vertical="center" wrapText="1"/>
      <protection hidden="1"/>
    </xf>
    <xf numFmtId="43" fontId="0" fillId="0" borderId="102" xfId="45" applyFont="1" applyFill="1" applyBorder="1" applyAlignment="1" applyProtection="1">
      <alignment vertical="center" wrapText="1"/>
      <protection hidden="1"/>
    </xf>
    <xf numFmtId="43" fontId="0" fillId="0" borderId="100" xfId="45" applyFont="1" applyFill="1" applyBorder="1" applyAlignment="1" applyProtection="1">
      <alignment vertical="center" wrapText="1"/>
      <protection hidden="1"/>
    </xf>
    <xf numFmtId="43" fontId="0" fillId="0" borderId="115" xfId="45" applyFont="1" applyFill="1" applyBorder="1" applyAlignment="1" applyProtection="1">
      <alignment vertical="center" wrapText="1"/>
      <protection hidden="1"/>
    </xf>
    <xf numFmtId="43" fontId="3" fillId="35" borderId="116" xfId="45" applyFont="1" applyFill="1" applyBorder="1" applyAlignment="1" applyProtection="1">
      <alignment vertical="center" wrapText="1"/>
      <protection locked="0"/>
    </xf>
    <xf numFmtId="0" fontId="0" fillId="0" borderId="86" xfId="0" applyFont="1" applyFill="1" applyBorder="1" applyAlignment="1" applyProtection="1">
      <alignment horizontal="center" vertical="center" wrapText="1"/>
      <protection locked="0"/>
    </xf>
    <xf numFmtId="0" fontId="4" fillId="0" borderId="110" xfId="0" applyFont="1" applyFill="1" applyBorder="1" applyAlignment="1" applyProtection="1">
      <alignment horizontal="center" vertical="center" wrapText="1"/>
      <protection hidden="1"/>
    </xf>
    <xf numFmtId="0" fontId="0" fillId="0" borderId="71" xfId="0" applyFont="1" applyFill="1" applyBorder="1" applyAlignment="1" applyProtection="1" quotePrefix="1">
      <alignment horizontal="center" vertical="center" wrapText="1"/>
      <protection locked="0"/>
    </xf>
    <xf numFmtId="0" fontId="0" fillId="0" borderId="90" xfId="0" applyFont="1" applyFill="1" applyBorder="1" applyAlignment="1" applyProtection="1" quotePrefix="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13"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3" fillId="0" borderId="46" xfId="0" applyFont="1" applyFill="1" applyBorder="1" applyAlignment="1" applyProtection="1">
      <alignment horizontal="center" vertical="center" wrapText="1"/>
      <protection hidden="1"/>
    </xf>
    <xf numFmtId="0" fontId="0" fillId="0" borderId="117" xfId="0" applyFont="1" applyFill="1" applyBorder="1" applyAlignment="1" applyProtection="1">
      <alignment horizontal="center" vertical="center" wrapText="1"/>
      <protection hidden="1"/>
    </xf>
    <xf numFmtId="43" fontId="0" fillId="0" borderId="114" xfId="45" applyFont="1" applyFill="1" applyBorder="1" applyAlignment="1" applyProtection="1">
      <alignment vertical="center" wrapText="1"/>
      <protection locked="0"/>
    </xf>
    <xf numFmtId="43" fontId="4" fillId="0" borderId="46" xfId="45" applyFont="1" applyFill="1" applyBorder="1" applyAlignment="1" applyProtection="1">
      <alignment vertical="center" wrapText="1"/>
      <protection locked="0"/>
    </xf>
    <xf numFmtId="43" fontId="0" fillId="0" borderId="118" xfId="45" applyFont="1" applyFill="1" applyBorder="1" applyAlignment="1" applyProtection="1">
      <alignment vertical="center" wrapText="1"/>
      <protection locked="0"/>
    </xf>
    <xf numFmtId="43" fontId="0" fillId="0" borderId="119" xfId="45" applyFont="1" applyFill="1" applyBorder="1" applyAlignment="1" applyProtection="1">
      <alignment vertical="center" wrapText="1"/>
      <protection locked="0"/>
    </xf>
    <xf numFmtId="43" fontId="0" fillId="0" borderId="115" xfId="45" applyFont="1" applyFill="1" applyBorder="1" applyAlignment="1" applyProtection="1">
      <alignment vertical="center" wrapText="1"/>
      <protection locked="0"/>
    </xf>
    <xf numFmtId="43" fontId="3" fillId="0" borderId="93" xfId="45" applyFont="1" applyFill="1" applyBorder="1" applyAlignment="1" applyProtection="1">
      <alignment vertical="center" wrapText="1"/>
      <protection hidden="1"/>
    </xf>
    <xf numFmtId="0" fontId="0" fillId="0" borderId="120" xfId="0" applyFont="1" applyFill="1" applyBorder="1" applyAlignment="1" applyProtection="1">
      <alignment horizontal="center" vertical="center" wrapText="1"/>
      <protection hidden="1"/>
    </xf>
    <xf numFmtId="43" fontId="3" fillId="0" borderId="121" xfId="45"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hidden="1"/>
    </xf>
    <xf numFmtId="0" fontId="4"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86" xfId="0" applyFont="1" applyFill="1" applyBorder="1" applyAlignment="1" applyProtection="1" quotePrefix="1">
      <alignment horizontal="center" vertical="center" wrapText="1"/>
      <protection hidden="1"/>
    </xf>
    <xf numFmtId="0" fontId="0" fillId="0" borderId="71" xfId="0" applyFont="1" applyFill="1" applyBorder="1" applyAlignment="1" applyProtection="1" quotePrefix="1">
      <alignment horizontal="center" vertical="center" wrapText="1"/>
      <protection hidden="1"/>
    </xf>
    <xf numFmtId="0" fontId="1" fillId="0" borderId="46" xfId="0" applyFont="1" applyFill="1" applyBorder="1" applyAlignment="1" applyProtection="1">
      <alignment horizontal="center" vertical="center" wrapText="1"/>
      <protection hidden="1"/>
    </xf>
    <xf numFmtId="0" fontId="0" fillId="0" borderId="46" xfId="0" applyFont="1" applyFill="1" applyBorder="1" applyAlignment="1" applyProtection="1">
      <alignment horizontal="center" vertical="center" wrapText="1"/>
      <protection hidden="1"/>
    </xf>
    <xf numFmtId="43" fontId="0" fillId="0" borderId="118" xfId="45" applyFont="1" applyFill="1" applyBorder="1" applyAlignment="1" applyProtection="1">
      <alignment vertical="center" wrapText="1"/>
      <protection hidden="1"/>
    </xf>
    <xf numFmtId="43" fontId="4" fillId="0" borderId="112" xfId="0" applyNumberFormat="1" applyFont="1" applyFill="1" applyBorder="1" applyAlignment="1" applyProtection="1">
      <alignment vertical="center" wrapText="1"/>
      <protection hidden="1"/>
    </xf>
    <xf numFmtId="43" fontId="0" fillId="0" borderId="114" xfId="45" applyFont="1" applyFill="1" applyBorder="1" applyAlignment="1" applyProtection="1">
      <alignment vertical="center" wrapText="1"/>
      <protection hidden="1"/>
    </xf>
    <xf numFmtId="43" fontId="0" fillId="0" borderId="119" xfId="45" applyFont="1" applyFill="1" applyBorder="1" applyAlignment="1" applyProtection="1">
      <alignment vertical="center" wrapText="1"/>
      <protection hidden="1"/>
    </xf>
    <xf numFmtId="43" fontId="4" fillId="0" borderId="122" xfId="0" applyNumberFormat="1" applyFont="1" applyFill="1" applyBorder="1" applyAlignment="1" applyProtection="1">
      <alignment vertical="center" wrapText="1"/>
      <protection hidden="1"/>
    </xf>
    <xf numFmtId="43" fontId="4" fillId="0" borderId="123" xfId="0" applyNumberFormat="1" applyFont="1" applyFill="1" applyBorder="1" applyAlignment="1" applyProtection="1">
      <alignment vertical="center" wrapText="1"/>
      <protection hidden="1"/>
    </xf>
    <xf numFmtId="43" fontId="0" fillId="0" borderId="119" xfId="45" applyFont="1" applyFill="1" applyBorder="1" applyAlignment="1" applyProtection="1">
      <alignment vertical="center" wrapText="1"/>
      <protection hidden="1"/>
    </xf>
    <xf numFmtId="43" fontId="0" fillId="0" borderId="124" xfId="45" applyFont="1" applyFill="1" applyBorder="1" applyAlignment="1" applyProtection="1">
      <alignment vertical="center" wrapText="1"/>
      <protection hidden="1"/>
    </xf>
    <xf numFmtId="43" fontId="0" fillId="0" borderId="121" xfId="45" applyFont="1" applyFill="1" applyBorder="1" applyAlignment="1" applyProtection="1">
      <alignment vertical="center" wrapText="1"/>
      <protection hidden="1"/>
    </xf>
    <xf numFmtId="43" fontId="4" fillId="0" borderId="122" xfId="45" applyFont="1" applyFill="1" applyBorder="1" applyAlignment="1" applyProtection="1">
      <alignment vertical="center" wrapText="1"/>
      <protection hidden="1"/>
    </xf>
    <xf numFmtId="43" fontId="0" fillId="0" borderId="117" xfId="45" applyFont="1" applyFill="1" applyBorder="1" applyAlignment="1" applyProtection="1">
      <alignment vertical="center" wrapText="1"/>
      <protection hidden="1"/>
    </xf>
    <xf numFmtId="43" fontId="0" fillId="0" borderId="119" xfId="45" applyFont="1" applyFill="1" applyBorder="1" applyAlignment="1" applyProtection="1">
      <alignment vertical="center" wrapText="1"/>
      <protection hidden="1"/>
    </xf>
    <xf numFmtId="43" fontId="4" fillId="0" borderId="123" xfId="45" applyFont="1" applyFill="1" applyBorder="1" applyAlignment="1" applyProtection="1">
      <alignment horizontal="right" vertical="center" wrapText="1"/>
      <protection hidden="1"/>
    </xf>
    <xf numFmtId="43" fontId="6" fillId="0" borderId="0" xfId="45" applyFont="1" applyFill="1" applyAlignment="1" applyProtection="1">
      <alignment vertical="center" wrapText="1"/>
      <protection hidden="1"/>
    </xf>
    <xf numFmtId="43" fontId="118" fillId="0" borderId="0" xfId="45" applyFont="1" applyFill="1" applyAlignment="1" applyProtection="1">
      <alignment vertical="center" wrapText="1"/>
      <protection hidden="1"/>
    </xf>
    <xf numFmtId="43" fontId="3" fillId="0" borderId="0" xfId="0" applyNumberFormat="1" applyFont="1" applyFill="1" applyAlignment="1" applyProtection="1">
      <alignment vertical="center" wrapText="1"/>
      <protection hidden="1"/>
    </xf>
    <xf numFmtId="0" fontId="0" fillId="0" borderId="0" xfId="0" applyFont="1" applyFill="1" applyAlignment="1" applyProtection="1">
      <alignment horizontal="center" vertical="center" wrapText="1"/>
      <protection hidden="1"/>
    </xf>
    <xf numFmtId="0" fontId="4" fillId="0" borderId="0" xfId="0" applyFont="1" applyFill="1" applyAlignment="1" applyProtection="1">
      <alignment vertical="center" wrapText="1"/>
      <protection hidden="1"/>
    </xf>
    <xf numFmtId="43" fontId="4" fillId="0" borderId="0" xfId="0" applyNumberFormat="1" applyFont="1" applyFill="1" applyAlignment="1" applyProtection="1">
      <alignment vertical="center" wrapText="1"/>
      <protection hidden="1"/>
    </xf>
    <xf numFmtId="43" fontId="0" fillId="0" borderId="0" xfId="0" applyNumberFormat="1" applyFont="1" applyFill="1" applyAlignment="1" applyProtection="1">
      <alignment vertical="center" wrapText="1"/>
      <protection hidden="1"/>
    </xf>
    <xf numFmtId="0" fontId="2" fillId="0" borderId="0" xfId="0" applyFont="1" applyFill="1" applyAlignment="1" applyProtection="1">
      <alignment vertical="center" wrapText="1"/>
      <protection hidden="1"/>
    </xf>
    <xf numFmtId="165" fontId="3" fillId="0" borderId="0" xfId="0" applyNumberFormat="1" applyFont="1" applyFill="1" applyAlignment="1" applyProtection="1">
      <alignment vertical="center" wrapText="1"/>
      <protection hidden="1"/>
    </xf>
    <xf numFmtId="0" fontId="0" fillId="0" borderId="0" xfId="0" applyFont="1" applyFill="1" applyBorder="1" applyAlignment="1" applyProtection="1">
      <alignment vertical="center" wrapText="1"/>
      <protection hidden="1"/>
    </xf>
    <xf numFmtId="0" fontId="3" fillId="0" borderId="0" xfId="0" applyFont="1" applyFill="1" applyAlignment="1" applyProtection="1">
      <alignment vertical="center" wrapText="1"/>
      <protection hidden="1"/>
    </xf>
    <xf numFmtId="0" fontId="2" fillId="0" borderId="0" xfId="0" applyFont="1" applyFill="1" applyBorder="1" applyAlignment="1" applyProtection="1">
      <alignment vertical="center" wrapText="1"/>
      <protection hidden="1"/>
    </xf>
    <xf numFmtId="43" fontId="2" fillId="0" borderId="0" xfId="0" applyNumberFormat="1" applyFont="1" applyFill="1" applyAlignment="1" applyProtection="1">
      <alignment vertical="center" wrapText="1"/>
      <protection hidden="1"/>
    </xf>
    <xf numFmtId="165" fontId="4" fillId="0" borderId="0" xfId="0" applyNumberFormat="1" applyFont="1" applyFill="1" applyAlignment="1" applyProtection="1">
      <alignment vertical="center" wrapText="1"/>
      <protection hidden="1"/>
    </xf>
    <xf numFmtId="0" fontId="1" fillId="0" borderId="0" xfId="0" applyFont="1" applyFill="1" applyAlignment="1" applyProtection="1">
      <alignment vertical="center" wrapText="1"/>
      <protection hidden="1"/>
    </xf>
    <xf numFmtId="0" fontId="0" fillId="0" borderId="117" xfId="0" applyFont="1" applyFill="1" applyBorder="1" applyAlignment="1" applyProtection="1">
      <alignment horizontal="center" vertical="center" wrapText="1"/>
      <protection hidden="1"/>
    </xf>
    <xf numFmtId="0" fontId="0" fillId="0" borderId="46"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7" fillId="0" borderId="76" xfId="0" applyFont="1" applyFill="1" applyBorder="1" applyAlignment="1" applyProtection="1">
      <alignment vertical="center" wrapText="1"/>
      <protection hidden="1"/>
    </xf>
    <xf numFmtId="0" fontId="0" fillId="0" borderId="43" xfId="0" applyFont="1" applyFill="1" applyBorder="1" applyAlignment="1" applyProtection="1">
      <alignment horizontal="center" vertical="center" wrapText="1"/>
      <protection hidden="1"/>
    </xf>
    <xf numFmtId="43" fontId="0" fillId="0" borderId="70" xfId="45" applyFont="1" applyFill="1" applyBorder="1" applyAlignment="1" applyProtection="1">
      <alignment vertical="center" wrapText="1"/>
      <protection locked="0"/>
    </xf>
    <xf numFmtId="43" fontId="0" fillId="0" borderId="83" xfId="45" applyFont="1" applyFill="1" applyBorder="1" applyAlignment="1" applyProtection="1">
      <alignment vertical="center" wrapText="1"/>
      <protection locked="0"/>
    </xf>
    <xf numFmtId="43" fontId="0" fillId="0" borderId="80" xfId="45" applyFont="1" applyFill="1" applyBorder="1" applyAlignment="1" applyProtection="1">
      <alignment vertical="center" wrapText="1"/>
      <protection locked="0"/>
    </xf>
    <xf numFmtId="43" fontId="4" fillId="0" borderId="81" xfId="45" applyFont="1" applyFill="1" applyBorder="1" applyAlignment="1" applyProtection="1">
      <alignment vertical="center" wrapText="1"/>
      <protection locked="0"/>
    </xf>
    <xf numFmtId="0" fontId="0" fillId="0" borderId="43" xfId="0" applyFont="1" applyFill="1" applyBorder="1" applyAlignment="1" applyProtection="1">
      <alignment horizontal="center" vertical="center" wrapText="1"/>
      <protection hidden="1"/>
    </xf>
    <xf numFmtId="43" fontId="0" fillId="0" borderId="98" xfId="45" applyFont="1" applyFill="1" applyBorder="1" applyAlignment="1" applyProtection="1">
      <alignment vertical="center" wrapText="1"/>
      <protection locked="0"/>
    </xf>
    <xf numFmtId="43" fontId="0" fillId="0" borderId="97" xfId="45" applyFont="1" applyFill="1" applyBorder="1" applyAlignment="1" applyProtection="1">
      <alignment vertical="center" wrapText="1"/>
      <protection locked="0"/>
    </xf>
    <xf numFmtId="43" fontId="0" fillId="0" borderId="71" xfId="45" applyFont="1" applyFill="1" applyBorder="1" applyAlignment="1" applyProtection="1">
      <alignment vertical="center" wrapText="1"/>
      <protection locked="0"/>
    </xf>
    <xf numFmtId="0" fontId="0" fillId="0" borderId="84" xfId="0" applyFont="1" applyFill="1" applyBorder="1" applyAlignment="1" applyProtection="1">
      <alignment horizontal="center" vertical="center" wrapText="1"/>
      <protection hidden="1"/>
    </xf>
    <xf numFmtId="43" fontId="0" fillId="0" borderId="86" xfId="45" applyFont="1" applyFill="1" applyBorder="1" applyAlignment="1" applyProtection="1">
      <alignment vertical="center" wrapText="1"/>
      <protection locked="0"/>
    </xf>
    <xf numFmtId="43" fontId="0" fillId="0" borderId="87" xfId="45" applyFont="1" applyFill="1" applyBorder="1" applyAlignment="1" applyProtection="1">
      <alignment vertical="center" wrapText="1"/>
      <protection locked="0"/>
    </xf>
    <xf numFmtId="43" fontId="0" fillId="0" borderId="83" xfId="45" applyFont="1" applyFill="1" applyBorder="1" applyAlignment="1" applyProtection="1">
      <alignment vertical="center" wrapText="1"/>
      <protection locked="0"/>
    </xf>
    <xf numFmtId="43" fontId="0" fillId="0" borderId="88" xfId="45" applyFont="1" applyFill="1" applyBorder="1" applyAlignment="1" applyProtection="1">
      <alignment vertical="center" wrapText="1"/>
      <protection locked="0"/>
    </xf>
    <xf numFmtId="43" fontId="0" fillId="0" borderId="88" xfId="45" applyFont="1" applyFill="1" applyBorder="1" applyAlignment="1" applyProtection="1">
      <alignment vertical="center" wrapText="1"/>
      <protection locked="0"/>
    </xf>
    <xf numFmtId="43" fontId="0" fillId="0" borderId="87" xfId="45" applyFont="1" applyFill="1" applyBorder="1" applyAlignment="1" applyProtection="1">
      <alignment vertical="center" wrapText="1"/>
      <protection locked="0"/>
    </xf>
    <xf numFmtId="43" fontId="4" fillId="0" borderId="81" xfId="0" applyNumberFormat="1" applyFont="1" applyFill="1" applyBorder="1" applyAlignment="1" applyProtection="1">
      <alignment vertical="center" wrapText="1"/>
      <protection locked="0"/>
    </xf>
    <xf numFmtId="43" fontId="0" fillId="0" borderId="86" xfId="45" applyFont="1" applyFill="1" applyBorder="1" applyAlignment="1" applyProtection="1">
      <alignment vertical="center" wrapText="1"/>
      <protection locked="0"/>
    </xf>
    <xf numFmtId="43" fontId="4" fillId="0" borderId="84" xfId="45" applyFont="1" applyFill="1" applyBorder="1" applyAlignment="1" applyProtection="1">
      <alignment vertical="center" wrapText="1"/>
      <protection locked="0"/>
    </xf>
    <xf numFmtId="43" fontId="4" fillId="0" borderId="45" xfId="45" applyFont="1" applyFill="1" applyBorder="1" applyAlignment="1" applyProtection="1">
      <alignment vertical="center" wrapText="1"/>
      <protection locked="0"/>
    </xf>
    <xf numFmtId="0" fontId="0" fillId="0" borderId="30" xfId="0" applyFont="1" applyFill="1" applyBorder="1" applyAlignment="1" applyProtection="1">
      <alignment horizontal="center" vertical="center" wrapText="1"/>
      <protection hidden="1"/>
    </xf>
    <xf numFmtId="43" fontId="0" fillId="0" borderId="125" xfId="45" applyFont="1" applyFill="1" applyBorder="1" applyAlignment="1" applyProtection="1">
      <alignment vertical="center" wrapText="1"/>
      <protection locked="0"/>
    </xf>
    <xf numFmtId="43" fontId="0" fillId="0" borderId="90" xfId="45" applyFont="1" applyFill="1" applyBorder="1" applyAlignment="1" applyProtection="1">
      <alignment vertical="center" wrapText="1"/>
      <protection locked="0"/>
    </xf>
    <xf numFmtId="43" fontId="3" fillId="0" borderId="45" xfId="45" applyFont="1" applyFill="1" applyBorder="1" applyAlignment="1" applyProtection="1">
      <alignment vertical="center" wrapText="1"/>
      <protection locked="0"/>
    </xf>
    <xf numFmtId="43" fontId="4" fillId="0" borderId="84" xfId="0" applyNumberFormat="1" applyFont="1" applyFill="1" applyBorder="1" applyAlignment="1" applyProtection="1">
      <alignment vertical="center" wrapText="1"/>
      <protection locked="0"/>
    </xf>
    <xf numFmtId="43" fontId="5" fillId="0" borderId="94" xfId="45" applyFont="1" applyFill="1" applyBorder="1" applyAlignment="1" applyProtection="1">
      <alignment vertical="center" wrapText="1"/>
      <protection hidden="1"/>
    </xf>
    <xf numFmtId="43" fontId="4" fillId="0" borderId="48" xfId="45" applyFont="1" applyFill="1" applyBorder="1" applyAlignment="1" applyProtection="1">
      <alignment vertical="center" wrapText="1"/>
      <protection locked="0"/>
    </xf>
    <xf numFmtId="43" fontId="4" fillId="0" borderId="126" xfId="45" applyFont="1" applyFill="1" applyBorder="1" applyAlignment="1" applyProtection="1">
      <alignment vertical="center" wrapText="1"/>
      <protection locked="0"/>
    </xf>
    <xf numFmtId="43" fontId="5" fillId="0" borderId="47" xfId="0" applyNumberFormat="1" applyFont="1" applyFill="1" applyBorder="1" applyAlignment="1" applyProtection="1">
      <alignment vertical="center" wrapText="1"/>
      <protection locked="0"/>
    </xf>
    <xf numFmtId="43" fontId="5" fillId="0" borderId="46" xfId="0" applyNumberFormat="1" applyFont="1" applyFill="1" applyBorder="1" applyAlignment="1" applyProtection="1">
      <alignment vertical="center" wrapText="1"/>
      <protection locked="0"/>
    </xf>
    <xf numFmtId="43" fontId="0" fillId="0" borderId="0" xfId="45" applyFont="1" applyFill="1" applyBorder="1" applyAlignment="1" applyProtection="1">
      <alignment vertical="center" wrapText="1"/>
      <protection locked="0"/>
    </xf>
    <xf numFmtId="165" fontId="0" fillId="0" borderId="0" xfId="0" applyNumberFormat="1" applyFont="1" applyFill="1" applyBorder="1" applyAlignment="1" applyProtection="1">
      <alignment vertical="center" wrapText="1"/>
      <protection locked="0"/>
    </xf>
    <xf numFmtId="43" fontId="0" fillId="0" borderId="0" xfId="0" applyNumberFormat="1" applyFont="1" applyFill="1" applyBorder="1" applyAlignment="1" applyProtection="1">
      <alignment vertical="center" wrapText="1"/>
      <protection locked="0"/>
    </xf>
    <xf numFmtId="0" fontId="14" fillId="0" borderId="0" xfId="0" applyFont="1" applyFill="1" applyAlignment="1" applyProtection="1">
      <alignment horizontal="center" vertical="center" wrapText="1"/>
      <protection hidden="1"/>
    </xf>
    <xf numFmtId="43" fontId="0" fillId="0" borderId="71" xfId="45" applyFont="1" applyFill="1" applyBorder="1" applyAlignment="1" applyProtection="1">
      <alignment vertical="center" wrapText="1"/>
      <protection hidden="1"/>
    </xf>
    <xf numFmtId="43" fontId="0" fillId="0" borderId="70" xfId="45" applyFont="1" applyFill="1" applyBorder="1" applyAlignment="1" applyProtection="1">
      <alignment horizontal="right" vertical="center" wrapText="1"/>
      <protection hidden="1"/>
    </xf>
    <xf numFmtId="43" fontId="6" fillId="0" borderId="0" xfId="45" applyFont="1" applyFill="1" applyBorder="1" applyAlignment="1" applyProtection="1">
      <alignment vertical="center" wrapText="1"/>
      <protection hidden="1"/>
    </xf>
    <xf numFmtId="43" fontId="0" fillId="0" borderId="83" xfId="45" applyFont="1" applyFill="1" applyBorder="1" applyAlignment="1" applyProtection="1">
      <alignment vertical="center" wrapText="1"/>
      <protection hidden="1"/>
    </xf>
    <xf numFmtId="43" fontId="0" fillId="0" borderId="88" xfId="45" applyFont="1" applyFill="1" applyBorder="1" applyAlignment="1" applyProtection="1">
      <alignment vertical="center" wrapText="1"/>
      <protection hidden="1"/>
    </xf>
    <xf numFmtId="0" fontId="0" fillId="0" borderId="70" xfId="0" applyFont="1" applyFill="1" applyBorder="1" applyAlignment="1" applyProtection="1">
      <alignment horizontal="center" vertical="center" wrapText="1"/>
      <protection hidden="1"/>
    </xf>
    <xf numFmtId="0" fontId="0" fillId="0" borderId="71" xfId="0" applyFont="1" applyFill="1" applyBorder="1" applyAlignment="1" applyProtection="1">
      <alignment horizontal="center" vertical="center" wrapText="1"/>
      <protection hidden="1"/>
    </xf>
    <xf numFmtId="43" fontId="0" fillId="0" borderId="111" xfId="45" applyFont="1" applyFill="1" applyBorder="1" applyAlignment="1" applyProtection="1">
      <alignment vertical="center" wrapText="1"/>
      <protection locked="0"/>
    </xf>
    <xf numFmtId="43" fontId="0" fillId="0" borderId="83" xfId="45" applyFont="1" applyFill="1" applyBorder="1" applyAlignment="1" applyProtection="1">
      <alignment vertical="center" wrapText="1"/>
      <protection hidden="1"/>
    </xf>
    <xf numFmtId="43" fontId="0" fillId="0" borderId="80" xfId="45" applyFont="1" applyFill="1" applyBorder="1" applyAlignment="1" applyProtection="1">
      <alignment vertical="center" wrapText="1"/>
      <protection hidden="1"/>
    </xf>
    <xf numFmtId="43" fontId="0" fillId="0" borderId="127" xfId="45" applyFont="1" applyFill="1" applyBorder="1" applyAlignment="1" applyProtection="1">
      <alignment vertical="center" wrapText="1"/>
      <protection hidden="1"/>
    </xf>
    <xf numFmtId="43" fontId="0" fillId="0" borderId="101" xfId="45" applyFont="1" applyFill="1" applyBorder="1" applyAlignment="1" applyProtection="1">
      <alignment vertical="center" wrapText="1"/>
      <protection hidden="1"/>
    </xf>
    <xf numFmtId="43" fontId="0" fillId="0" borderId="0" xfId="45" applyFont="1" applyFill="1" applyBorder="1" applyAlignment="1" applyProtection="1">
      <alignment vertical="center" wrapText="1"/>
      <protection hidden="1"/>
    </xf>
    <xf numFmtId="43" fontId="0" fillId="0" borderId="128" xfId="45" applyFont="1" applyFill="1" applyBorder="1" applyAlignment="1" applyProtection="1">
      <alignment vertical="center" wrapText="1"/>
      <protection hidden="1"/>
    </xf>
    <xf numFmtId="43" fontId="0" fillId="0" borderId="104" xfId="45" applyFont="1" applyFill="1" applyBorder="1" applyAlignment="1" applyProtection="1">
      <alignment vertical="center" wrapText="1"/>
      <protection hidden="1"/>
    </xf>
    <xf numFmtId="0" fontId="26" fillId="0" borderId="0" xfId="0" applyFont="1" applyFill="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0" fontId="0" fillId="0" borderId="17" xfId="0" applyFont="1" applyFill="1" applyBorder="1" applyAlignment="1" applyProtection="1">
      <alignment horizontal="center" vertical="center" wrapText="1"/>
      <protection hidden="1"/>
    </xf>
    <xf numFmtId="0" fontId="0" fillId="0" borderId="11" xfId="0" applyFont="1" applyFill="1" applyBorder="1" applyAlignment="1" applyProtection="1">
      <alignment horizontal="center" vertical="center" wrapText="1"/>
      <protection hidden="1"/>
    </xf>
    <xf numFmtId="0" fontId="0" fillId="0" borderId="11" xfId="0" applyFont="1" applyFill="1" applyBorder="1" applyAlignment="1" applyProtection="1">
      <alignment horizontal="center" vertical="center" wrapText="1"/>
      <protection hidden="1"/>
    </xf>
    <xf numFmtId="0" fontId="26" fillId="0" borderId="28" xfId="0" applyFont="1" applyFill="1" applyBorder="1" applyAlignment="1" applyProtection="1">
      <alignment horizontal="center" vertical="center" wrapText="1"/>
      <protection hidden="1"/>
    </xf>
    <xf numFmtId="0" fontId="4" fillId="0" borderId="77" xfId="0" applyFont="1" applyFill="1" applyBorder="1" applyAlignment="1" applyProtection="1">
      <alignment horizontal="center" vertical="center" wrapText="1"/>
      <protection hidden="1"/>
    </xf>
    <xf numFmtId="0" fontId="4" fillId="0" borderId="70" xfId="0" applyFont="1" applyFill="1" applyBorder="1" applyAlignment="1" applyProtection="1" quotePrefix="1">
      <alignment horizontal="center" vertical="center" wrapText="1"/>
      <protection hidden="1"/>
    </xf>
    <xf numFmtId="0" fontId="4" fillId="0" borderId="70" xfId="0" applyFont="1" applyFill="1" applyBorder="1" applyAlignment="1" applyProtection="1">
      <alignment horizontal="center" vertical="center" wrapText="1"/>
      <protection hidden="1"/>
    </xf>
    <xf numFmtId="0" fontId="0" fillId="0" borderId="83" xfId="0" applyFont="1" applyFill="1" applyBorder="1" applyAlignment="1" applyProtection="1">
      <alignment vertical="center" wrapText="1"/>
      <protection hidden="1"/>
    </xf>
    <xf numFmtId="0" fontId="0" fillId="0" borderId="80" xfId="0" applyFont="1" applyFill="1" applyBorder="1" applyAlignment="1" applyProtection="1">
      <alignment vertical="center" wrapText="1"/>
      <protection hidden="1"/>
    </xf>
    <xf numFmtId="0" fontId="4" fillId="0" borderId="78" xfId="0" applyFont="1" applyFill="1" applyBorder="1" applyAlignment="1" applyProtection="1">
      <alignment horizontal="center" vertical="center" wrapText="1"/>
      <protection hidden="1"/>
    </xf>
    <xf numFmtId="0" fontId="4" fillId="0" borderId="71" xfId="0" applyFont="1" applyFill="1" applyBorder="1" applyAlignment="1" applyProtection="1" quotePrefix="1">
      <alignment horizontal="center" vertical="center" wrapText="1"/>
      <protection hidden="1"/>
    </xf>
    <xf numFmtId="0" fontId="0" fillId="0" borderId="71" xfId="0" applyFont="1" applyFill="1" applyBorder="1" applyAlignment="1" applyProtection="1" quotePrefix="1">
      <alignment horizontal="center" vertical="center" wrapText="1"/>
      <protection hidden="1"/>
    </xf>
    <xf numFmtId="0" fontId="4" fillId="0" borderId="71" xfId="0" applyFont="1" applyFill="1" applyBorder="1" applyAlignment="1" applyProtection="1">
      <alignment horizontal="center" vertical="center" wrapText="1"/>
      <protection hidden="1"/>
    </xf>
    <xf numFmtId="0" fontId="0" fillId="0" borderId="80" xfId="0" applyFont="1" applyFill="1" applyBorder="1" applyAlignment="1" applyProtection="1">
      <alignment vertical="center" wrapText="1"/>
      <protection hidden="1"/>
    </xf>
    <xf numFmtId="0" fontId="4" fillId="0" borderId="86" xfId="0" applyFont="1" applyFill="1" applyBorder="1" applyAlignment="1" applyProtection="1">
      <alignment horizontal="center" vertical="center" wrapText="1"/>
      <protection hidden="1"/>
    </xf>
    <xf numFmtId="0" fontId="0" fillId="0" borderId="71" xfId="0" applyFont="1" applyFill="1" applyBorder="1" applyAlignment="1" applyProtection="1">
      <alignment vertical="center" wrapText="1"/>
      <protection hidden="1"/>
    </xf>
    <xf numFmtId="0" fontId="0" fillId="0" borderId="86" xfId="0" applyFont="1" applyFill="1" applyBorder="1" applyAlignment="1" applyProtection="1" quotePrefix="1">
      <alignment horizontal="center" vertical="center" wrapText="1"/>
      <protection hidden="1"/>
    </xf>
    <xf numFmtId="0" fontId="4" fillId="0" borderId="90" xfId="0" applyFont="1" applyFill="1" applyBorder="1" applyAlignment="1" applyProtection="1" quotePrefix="1">
      <alignment horizontal="center" vertical="center" wrapText="1"/>
      <protection hidden="1"/>
    </xf>
    <xf numFmtId="0" fontId="0" fillId="0" borderId="90" xfId="0" applyFont="1" applyFill="1" applyBorder="1" applyAlignment="1" applyProtection="1">
      <alignment horizontal="center" vertical="center" wrapText="1"/>
      <protection hidden="1"/>
    </xf>
    <xf numFmtId="0" fontId="0" fillId="0" borderId="88" xfId="0" applyFont="1" applyFill="1" applyBorder="1" applyAlignment="1" applyProtection="1">
      <alignment vertical="center" wrapText="1"/>
      <protection hidden="1"/>
    </xf>
    <xf numFmtId="43" fontId="4" fillId="0" borderId="42" xfId="0" applyNumberFormat="1" applyFont="1" applyFill="1" applyBorder="1" applyAlignment="1" applyProtection="1">
      <alignment vertical="center" wrapText="1"/>
      <protection hidden="1"/>
    </xf>
    <xf numFmtId="0" fontId="4" fillId="0" borderId="0" xfId="0" applyFont="1" applyFill="1" applyBorder="1" applyAlignment="1" applyProtection="1">
      <alignment vertical="center" wrapText="1"/>
      <protection hidden="1"/>
    </xf>
    <xf numFmtId="0" fontId="4" fillId="0" borderId="90" xfId="0" applyFont="1" applyFill="1" applyBorder="1" applyAlignment="1" applyProtection="1">
      <alignment horizontal="center" vertical="center" wrapText="1"/>
      <protection hidden="1"/>
    </xf>
    <xf numFmtId="0" fontId="0" fillId="0" borderId="87" xfId="0" applyFont="1" applyFill="1" applyBorder="1" applyAlignment="1" applyProtection="1">
      <alignment vertical="center" wrapText="1"/>
      <protection hidden="1"/>
    </xf>
    <xf numFmtId="0" fontId="0" fillId="0" borderId="70" xfId="0" applyFont="1" applyFill="1" applyBorder="1" applyAlignment="1" applyProtection="1" quotePrefix="1">
      <alignment horizontal="center" vertical="center" wrapText="1"/>
      <protection hidden="1"/>
    </xf>
    <xf numFmtId="0" fontId="0" fillId="0" borderId="86" xfId="0" applyFont="1" applyFill="1" applyBorder="1" applyAlignment="1" applyProtection="1">
      <alignment vertical="center" wrapText="1"/>
      <protection hidden="1"/>
    </xf>
    <xf numFmtId="43" fontId="4" fillId="0" borderId="54" xfId="45" applyFont="1" applyFill="1" applyBorder="1" applyAlignment="1" applyProtection="1">
      <alignment vertical="center" wrapText="1"/>
      <protection hidden="1"/>
    </xf>
    <xf numFmtId="0" fontId="0" fillId="0" borderId="70" xfId="0" applyFont="1" applyFill="1" applyBorder="1" applyAlignment="1" applyProtection="1" quotePrefix="1">
      <alignment horizontal="center" vertical="center" wrapText="1"/>
      <protection hidden="1"/>
    </xf>
    <xf numFmtId="0" fontId="0" fillId="0" borderId="80" xfId="0" applyFont="1" applyFill="1" applyBorder="1" applyAlignment="1" applyProtection="1">
      <alignment vertical="center" wrapText="1"/>
      <protection hidden="1"/>
    </xf>
    <xf numFmtId="43" fontId="0" fillId="0" borderId="79" xfId="45" applyFont="1" applyFill="1" applyBorder="1" applyAlignment="1" applyProtection="1">
      <alignment vertical="center" wrapText="1"/>
      <protection hidden="1"/>
    </xf>
    <xf numFmtId="43" fontId="0" fillId="0" borderId="129" xfId="45" applyFont="1" applyFill="1" applyBorder="1" applyAlignment="1" applyProtection="1">
      <alignment vertical="center" wrapText="1"/>
      <protection hidden="1"/>
    </xf>
    <xf numFmtId="0" fontId="0" fillId="0" borderId="83" xfId="0" applyFont="1" applyFill="1" applyBorder="1" applyAlignment="1" applyProtection="1">
      <alignment vertical="center" wrapText="1"/>
      <protection hidden="1"/>
    </xf>
    <xf numFmtId="0" fontId="0" fillId="0" borderId="87" xfId="0" applyFont="1" applyFill="1" applyBorder="1" applyAlignment="1" applyProtection="1">
      <alignment vertical="center" wrapText="1"/>
      <protection hidden="1"/>
    </xf>
    <xf numFmtId="43" fontId="0" fillId="0" borderId="100" xfId="45" applyFont="1" applyFill="1" applyBorder="1" applyAlignment="1" applyProtection="1">
      <alignment vertical="center" wrapText="1"/>
      <protection hidden="1"/>
    </xf>
    <xf numFmtId="43" fontId="0" fillId="0" borderId="99" xfId="45" applyFont="1" applyFill="1" applyBorder="1" applyAlignment="1" applyProtection="1">
      <alignment vertical="center" wrapText="1"/>
      <protection hidden="1"/>
    </xf>
    <xf numFmtId="0" fontId="0" fillId="0" borderId="83" xfId="0" applyFont="1" applyFill="1" applyBorder="1" applyAlignment="1" applyProtection="1">
      <alignment vertical="center" wrapText="1"/>
      <protection hidden="1"/>
    </xf>
    <xf numFmtId="43" fontId="0" fillId="0" borderId="98" xfId="45" applyFont="1" applyFill="1" applyBorder="1" applyAlignment="1" applyProtection="1">
      <alignment vertical="center" wrapText="1"/>
      <protection hidden="1"/>
    </xf>
    <xf numFmtId="43" fontId="0" fillId="0" borderId="62" xfId="45" applyFont="1" applyFill="1" applyBorder="1" applyAlignment="1" applyProtection="1">
      <alignment vertical="center" wrapText="1"/>
      <protection hidden="1"/>
    </xf>
    <xf numFmtId="0" fontId="4" fillId="0" borderId="89" xfId="0" applyFont="1" applyFill="1" applyBorder="1" applyAlignment="1" applyProtection="1">
      <alignment horizontal="center" vertical="center" wrapText="1"/>
      <protection hidden="1"/>
    </xf>
    <xf numFmtId="0" fontId="0" fillId="0" borderId="88" xfId="0" applyFont="1" applyFill="1" applyBorder="1" applyAlignment="1" applyProtection="1">
      <alignment vertical="center" wrapText="1"/>
      <protection hidden="1"/>
    </xf>
    <xf numFmtId="43" fontId="0" fillId="0" borderId="0" xfId="45" applyFont="1" applyFill="1" applyBorder="1" applyAlignment="1" applyProtection="1">
      <alignment vertical="center" wrapText="1"/>
      <protection hidden="1"/>
    </xf>
    <xf numFmtId="43" fontId="4" fillId="0" borderId="12" xfId="45" applyFont="1" applyFill="1" applyBorder="1" applyAlignment="1" applyProtection="1">
      <alignment vertical="center" wrapText="1"/>
      <protection hidden="1"/>
    </xf>
    <xf numFmtId="43" fontId="4" fillId="0" borderId="51" xfId="0" applyNumberFormat="1" applyFont="1" applyFill="1" applyBorder="1" applyAlignment="1" applyProtection="1">
      <alignment vertical="center" wrapText="1"/>
      <protection hidden="1"/>
    </xf>
    <xf numFmtId="0" fontId="0" fillId="0" borderId="90" xfId="0" applyFont="1" applyFill="1" applyBorder="1" applyAlignment="1" applyProtection="1" quotePrefix="1">
      <alignment horizontal="center" vertical="center" wrapText="1"/>
      <protection hidden="1"/>
    </xf>
    <xf numFmtId="0" fontId="4" fillId="0" borderId="103" xfId="0" applyFont="1" applyFill="1" applyBorder="1" applyAlignment="1" applyProtection="1">
      <alignment horizontal="center" vertical="center" wrapText="1"/>
      <protection hidden="1"/>
    </xf>
    <xf numFmtId="0" fontId="4" fillId="0" borderId="98" xfId="0" applyFont="1" applyFill="1" applyBorder="1" applyAlignment="1" applyProtection="1">
      <alignment horizontal="center" vertical="center" wrapText="1"/>
      <protection hidden="1"/>
    </xf>
    <xf numFmtId="0" fontId="4" fillId="0" borderId="98" xfId="0" applyFont="1" applyFill="1" applyBorder="1" applyAlignment="1" applyProtection="1" quotePrefix="1">
      <alignment horizontal="center" vertical="center" wrapText="1"/>
      <protection hidden="1"/>
    </xf>
    <xf numFmtId="0" fontId="0" fillId="0" borderId="98" xfId="0" applyFont="1" applyFill="1" applyBorder="1" applyAlignment="1" applyProtection="1" quotePrefix="1">
      <alignment horizontal="center" vertical="center" wrapText="1"/>
      <protection hidden="1"/>
    </xf>
    <xf numFmtId="0" fontId="0" fillId="0" borderId="98" xfId="0" applyFont="1" applyFill="1" applyBorder="1" applyAlignment="1" applyProtection="1">
      <alignment horizontal="center" vertical="center" wrapText="1"/>
      <protection hidden="1"/>
    </xf>
    <xf numFmtId="0" fontId="0" fillId="0" borderId="97" xfId="0" applyFont="1" applyFill="1" applyBorder="1" applyAlignment="1" applyProtection="1">
      <alignment vertical="center" wrapText="1"/>
      <protection hidden="1"/>
    </xf>
    <xf numFmtId="43" fontId="0" fillId="0" borderId="62" xfId="45" applyFont="1" applyFill="1" applyBorder="1" applyAlignment="1" applyProtection="1">
      <alignment vertical="center" wrapText="1"/>
      <protection hidden="1"/>
    </xf>
    <xf numFmtId="0" fontId="4" fillId="0" borderId="130" xfId="0" applyFont="1" applyFill="1" applyBorder="1" applyAlignment="1" applyProtection="1">
      <alignment horizontal="center" vertical="center" wrapText="1"/>
      <protection hidden="1"/>
    </xf>
    <xf numFmtId="0" fontId="0" fillId="0" borderId="90" xfId="0" applyFont="1" applyFill="1" applyBorder="1" applyAlignment="1" applyProtection="1">
      <alignment vertical="center" wrapText="1"/>
      <protection hidden="1"/>
    </xf>
    <xf numFmtId="0" fontId="0" fillId="0" borderId="88" xfId="0" applyFont="1" applyFill="1" applyBorder="1" applyAlignment="1" applyProtection="1">
      <alignment vertical="center" wrapText="1"/>
      <protection hidden="1"/>
    </xf>
    <xf numFmtId="0" fontId="3" fillId="0" borderId="21" xfId="0" applyFont="1" applyFill="1" applyBorder="1" applyAlignment="1" applyProtection="1">
      <alignment vertical="center" wrapText="1"/>
      <protection hidden="1"/>
    </xf>
    <xf numFmtId="0" fontId="1" fillId="0" borderId="47" xfId="0" applyFont="1" applyFill="1" applyBorder="1" applyAlignment="1" applyProtection="1">
      <alignment horizontal="center" vertical="center" wrapText="1"/>
      <protection hidden="1"/>
    </xf>
    <xf numFmtId="0" fontId="1" fillId="0" borderId="96" xfId="0" applyFont="1" applyFill="1" applyBorder="1" applyAlignment="1" applyProtection="1">
      <alignment horizontal="center" vertical="center" wrapText="1"/>
      <protection hidden="1"/>
    </xf>
    <xf numFmtId="43" fontId="4" fillId="0" borderId="48" xfId="45" applyFont="1" applyFill="1" applyBorder="1" applyAlignment="1" applyProtection="1">
      <alignment vertical="center" wrapText="1"/>
      <protection hidden="1"/>
    </xf>
    <xf numFmtId="43" fontId="0" fillId="0" borderId="131" xfId="45" applyFont="1" applyFill="1" applyBorder="1" applyAlignment="1" applyProtection="1">
      <alignment vertical="center" wrapText="1"/>
      <protection hidden="1"/>
    </xf>
    <xf numFmtId="43" fontId="4" fillId="0" borderId="0" xfId="45" applyFont="1" applyFill="1" applyBorder="1" applyAlignment="1" applyProtection="1">
      <alignment vertical="center" wrapText="1"/>
      <protection hidden="1"/>
    </xf>
    <xf numFmtId="43" fontId="4" fillId="0" borderId="49" xfId="45" applyFont="1" applyFill="1" applyBorder="1" applyAlignment="1" applyProtection="1">
      <alignment vertical="center" wrapText="1"/>
      <protection hidden="1"/>
    </xf>
    <xf numFmtId="43" fontId="4" fillId="37" borderId="46" xfId="45" applyFont="1" applyFill="1" applyBorder="1" applyAlignment="1" applyProtection="1">
      <alignment vertical="center" wrapText="1"/>
      <protection hidden="1"/>
    </xf>
    <xf numFmtId="43" fontId="3" fillId="0" borderId="96" xfId="45" applyFont="1" applyFill="1" applyBorder="1" applyAlignment="1" applyProtection="1">
      <alignment vertical="center" wrapText="1"/>
      <protection hidden="1"/>
    </xf>
    <xf numFmtId="43" fontId="4" fillId="0" borderId="96" xfId="45" applyFont="1" applyFill="1" applyBorder="1" applyAlignment="1" applyProtection="1">
      <alignment vertical="center" wrapText="1"/>
      <protection hidden="1"/>
    </xf>
    <xf numFmtId="43" fontId="3" fillId="37" borderId="84" xfId="45" applyFont="1" applyFill="1" applyBorder="1" applyAlignment="1" applyProtection="1">
      <alignment vertical="center" wrapText="1"/>
      <protection hidden="1"/>
    </xf>
    <xf numFmtId="43" fontId="3" fillId="37" borderId="30" xfId="45" applyFont="1" applyFill="1" applyBorder="1" applyAlignment="1" applyProtection="1">
      <alignment vertical="center" wrapText="1"/>
      <protection hidden="1"/>
    </xf>
    <xf numFmtId="43" fontId="3" fillId="37" borderId="81" xfId="45" applyFont="1" applyFill="1" applyBorder="1" applyAlignment="1" applyProtection="1">
      <alignment vertical="center" wrapText="1"/>
      <protection hidden="1"/>
    </xf>
    <xf numFmtId="43" fontId="3" fillId="37" borderId="39" xfId="45" applyFont="1" applyFill="1" applyBorder="1" applyAlignment="1" applyProtection="1">
      <alignment vertical="center" wrapText="1"/>
      <protection hidden="1"/>
    </xf>
    <xf numFmtId="43" fontId="3" fillId="37" borderId="46" xfId="45" applyFont="1" applyFill="1" applyBorder="1" applyAlignment="1" applyProtection="1">
      <alignment vertical="center" wrapText="1"/>
      <protection hidden="1"/>
    </xf>
    <xf numFmtId="43" fontId="3" fillId="37" borderId="49" xfId="45" applyFont="1" applyFill="1" applyBorder="1" applyAlignment="1" applyProtection="1">
      <alignment vertical="center" wrapText="1"/>
      <protection hidden="1"/>
    </xf>
    <xf numFmtId="43" fontId="3" fillId="37" borderId="66" xfId="45" applyFont="1" applyFill="1" applyBorder="1" applyAlignment="1" applyProtection="1">
      <alignment vertical="center" wrapText="1"/>
      <protection hidden="1"/>
    </xf>
    <xf numFmtId="43" fontId="3" fillId="37" borderId="122" xfId="45" applyFont="1" applyFill="1" applyBorder="1" applyAlignment="1" applyProtection="1">
      <alignment vertical="center" wrapText="1"/>
      <protection hidden="1"/>
    </xf>
    <xf numFmtId="43" fontId="4" fillId="0" borderId="39" xfId="45" applyFont="1" applyFill="1" applyBorder="1" applyAlignment="1" applyProtection="1">
      <alignment vertical="center" wrapText="1"/>
      <protection locked="0"/>
    </xf>
    <xf numFmtId="43" fontId="4" fillId="37" borderId="84" xfId="0" applyNumberFormat="1" applyFont="1" applyFill="1" applyBorder="1" applyAlignment="1" applyProtection="1">
      <alignment horizontal="center" vertical="center" wrapText="1"/>
      <protection hidden="1"/>
    </xf>
    <xf numFmtId="43" fontId="4" fillId="37" borderId="81" xfId="0" applyNumberFormat="1" applyFont="1" applyFill="1" applyBorder="1" applyAlignment="1" applyProtection="1">
      <alignment horizontal="center" vertical="center" wrapText="1"/>
      <protection hidden="1"/>
    </xf>
    <xf numFmtId="43" fontId="4" fillId="37" borderId="46" xfId="45" applyFont="1" applyFill="1" applyBorder="1" applyAlignment="1" applyProtection="1">
      <alignment horizontal="center" vertical="center" wrapText="1"/>
      <protection hidden="1"/>
    </xf>
    <xf numFmtId="43" fontId="4" fillId="37" borderId="84" xfId="45" applyFont="1" applyFill="1" applyBorder="1" applyAlignment="1" applyProtection="1">
      <alignment vertical="center" wrapText="1"/>
      <protection hidden="1"/>
    </xf>
    <xf numFmtId="43" fontId="3" fillId="37" borderId="44" xfId="45" applyFont="1" applyFill="1" applyBorder="1" applyAlignment="1" applyProtection="1">
      <alignment vertical="center" wrapText="1"/>
      <protection hidden="1"/>
    </xf>
    <xf numFmtId="0" fontId="0" fillId="0" borderId="71" xfId="0" applyFont="1" applyFill="1" applyBorder="1" applyAlignment="1" applyProtection="1">
      <alignment vertical="center" wrapText="1"/>
      <protection locked="0"/>
    </xf>
    <xf numFmtId="43" fontId="0" fillId="0" borderId="90" xfId="45" applyFont="1" applyFill="1" applyBorder="1" applyAlignment="1" applyProtection="1">
      <alignment vertical="center" wrapText="1"/>
      <protection locked="0"/>
    </xf>
    <xf numFmtId="43" fontId="0" fillId="0" borderId="132" xfId="45" applyFont="1" applyFill="1" applyBorder="1" applyAlignment="1" applyProtection="1">
      <alignment vertical="center" wrapText="1"/>
      <protection locked="0"/>
    </xf>
    <xf numFmtId="43" fontId="0" fillId="0" borderId="79" xfId="45" applyFont="1" applyFill="1" applyBorder="1" applyAlignment="1" applyProtection="1">
      <alignment vertical="center" wrapText="1"/>
      <protection locked="0"/>
    </xf>
    <xf numFmtId="43" fontId="0" fillId="0" borderId="98" xfId="45" applyFont="1" applyFill="1" applyBorder="1" applyAlignment="1" applyProtection="1">
      <alignment vertical="center" wrapText="1"/>
      <protection hidden="1"/>
    </xf>
    <xf numFmtId="43" fontId="0" fillId="0" borderId="87" xfId="45" applyFont="1" applyFill="1" applyBorder="1" applyAlignment="1" applyProtection="1">
      <alignment vertical="center" wrapText="1"/>
      <protection hidden="1"/>
    </xf>
    <xf numFmtId="43" fontId="0" fillId="0" borderId="88" xfId="45" applyFont="1" applyFill="1" applyBorder="1" applyAlignment="1" applyProtection="1">
      <alignment vertical="center" wrapText="1"/>
      <protection hidden="1"/>
    </xf>
    <xf numFmtId="43" fontId="0" fillId="0" borderId="102" xfId="45" applyFont="1" applyFill="1" applyBorder="1" applyAlignment="1" applyProtection="1">
      <alignment vertical="center" wrapText="1"/>
      <protection hidden="1"/>
    </xf>
    <xf numFmtId="0" fontId="0" fillId="0" borderId="133" xfId="0" applyFont="1" applyFill="1" applyBorder="1" applyAlignment="1" applyProtection="1">
      <alignment vertical="center" wrapText="1"/>
      <protection hidden="1"/>
    </xf>
    <xf numFmtId="0" fontId="0" fillId="0" borderId="97" xfId="0" applyFont="1" applyFill="1" applyBorder="1" applyAlignment="1" applyProtection="1">
      <alignment vertical="center" wrapText="1"/>
      <protection hidden="1"/>
    </xf>
    <xf numFmtId="43" fontId="0" fillId="0" borderId="118" xfId="45" applyFont="1" applyFill="1" applyBorder="1" applyAlignment="1" applyProtection="1">
      <alignment vertical="center" wrapText="1"/>
      <protection hidden="1"/>
    </xf>
    <xf numFmtId="0" fontId="0" fillId="0" borderId="99" xfId="0" applyFont="1" applyFill="1" applyBorder="1" applyAlignment="1" applyProtection="1">
      <alignment vertical="center" wrapText="1"/>
      <protection hidden="1"/>
    </xf>
    <xf numFmtId="43" fontId="0" fillId="35" borderId="0" xfId="45" applyFont="1" applyFill="1" applyAlignment="1" applyProtection="1">
      <alignment vertical="center" wrapText="1"/>
      <protection hidden="1"/>
    </xf>
    <xf numFmtId="43" fontId="117" fillId="0" borderId="96" xfId="45" applyFont="1" applyFill="1" applyBorder="1" applyAlignment="1" applyProtection="1">
      <alignment vertical="center" wrapText="1"/>
      <protection hidden="1"/>
    </xf>
    <xf numFmtId="43" fontId="117" fillId="0" borderId="0" xfId="45" applyFont="1" applyFill="1" applyBorder="1" applyAlignment="1" applyProtection="1">
      <alignment vertical="center" wrapText="1"/>
      <protection hidden="1"/>
    </xf>
    <xf numFmtId="43" fontId="4" fillId="35" borderId="122" xfId="45" applyFont="1" applyFill="1" applyBorder="1" applyAlignment="1" applyProtection="1">
      <alignment vertical="center" wrapText="1"/>
      <protection hidden="1"/>
    </xf>
    <xf numFmtId="0" fontId="17" fillId="0" borderId="0" xfId="0" applyFont="1" applyAlignment="1">
      <alignment horizontal="right"/>
    </xf>
    <xf numFmtId="0" fontId="17" fillId="0" borderId="0" xfId="0" applyFont="1" applyAlignment="1">
      <alignment horizontal="center"/>
    </xf>
    <xf numFmtId="0" fontId="0" fillId="0" borderId="0" xfId="0" applyAlignment="1">
      <alignment horizontal="center"/>
    </xf>
    <xf numFmtId="0" fontId="17" fillId="0" borderId="73" xfId="0" applyFont="1" applyBorder="1" applyAlignment="1">
      <alignment horizontal="center" vertical="center" wrapText="1"/>
    </xf>
    <xf numFmtId="0" fontId="17" fillId="0" borderId="74" xfId="0" applyFont="1" applyBorder="1" applyAlignment="1">
      <alignment horizontal="center" vertical="center" wrapText="1"/>
    </xf>
    <xf numFmtId="0" fontId="0" fillId="0" borderId="134" xfId="0" applyBorder="1" applyAlignment="1">
      <alignment horizontal="left"/>
    </xf>
    <xf numFmtId="0" fontId="0" fillId="0" borderId="12" xfId="0" applyBorder="1" applyAlignment="1">
      <alignment horizontal="center"/>
    </xf>
    <xf numFmtId="0" fontId="16" fillId="0" borderId="135" xfId="0" applyFont="1" applyBorder="1" applyAlignment="1">
      <alignment horizontal="left"/>
    </xf>
    <xf numFmtId="0" fontId="0" fillId="0" borderId="13" xfId="0" applyBorder="1" applyAlignment="1">
      <alignment horizontal="center"/>
    </xf>
    <xf numFmtId="0" fontId="0" fillId="0" borderId="134" xfId="0" applyBorder="1" applyAlignment="1">
      <alignment/>
    </xf>
    <xf numFmtId="0" fontId="0" fillId="0" borderId="24" xfId="0" applyBorder="1" applyAlignment="1">
      <alignment/>
    </xf>
    <xf numFmtId="0" fontId="0" fillId="0" borderId="136" xfId="0" applyBorder="1" applyAlignment="1">
      <alignment/>
    </xf>
    <xf numFmtId="0" fontId="0" fillId="0" borderId="11" xfId="0" applyBorder="1" applyAlignment="1">
      <alignment horizontal="center"/>
    </xf>
    <xf numFmtId="2" fontId="0" fillId="0" borderId="11" xfId="0" applyNumberFormat="1" applyBorder="1" applyAlignment="1">
      <alignment horizontal="center"/>
    </xf>
    <xf numFmtId="2" fontId="0" fillId="0" borderId="72" xfId="0" applyNumberFormat="1" applyBorder="1" applyAlignment="1">
      <alignment horizontal="center"/>
    </xf>
    <xf numFmtId="0" fontId="0" fillId="0" borderId="136" xfId="0" applyBorder="1" applyAlignment="1">
      <alignment wrapText="1"/>
    </xf>
    <xf numFmtId="0" fontId="119" fillId="0" borderId="136" xfId="0" applyFont="1" applyBorder="1" applyAlignment="1">
      <alignment/>
    </xf>
    <xf numFmtId="0" fontId="119" fillId="0" borderId="11" xfId="0" applyFont="1" applyBorder="1" applyAlignment="1">
      <alignment horizontal="center"/>
    </xf>
    <xf numFmtId="0" fontId="0" fillId="36" borderId="136" xfId="0" applyFill="1" applyBorder="1" applyAlignment="1">
      <alignment wrapText="1"/>
    </xf>
    <xf numFmtId="0" fontId="114" fillId="0" borderId="136" xfId="0" applyFont="1" applyBorder="1" applyAlignment="1">
      <alignment horizontal="right"/>
    </xf>
    <xf numFmtId="0" fontId="114" fillId="0" borderId="11" xfId="0" applyFont="1" applyBorder="1" applyAlignment="1">
      <alignment horizontal="center"/>
    </xf>
    <xf numFmtId="0" fontId="0" fillId="0" borderId="135" xfId="0" applyBorder="1" applyAlignment="1">
      <alignment/>
    </xf>
    <xf numFmtId="0" fontId="0" fillId="0" borderId="27" xfId="0" applyBorder="1" applyAlignment="1">
      <alignment/>
    </xf>
    <xf numFmtId="2" fontId="0" fillId="0" borderId="13" xfId="0" applyNumberFormat="1" applyBorder="1" applyAlignment="1">
      <alignment horizontal="center"/>
    </xf>
    <xf numFmtId="2" fontId="0" fillId="0" borderId="137" xfId="0" applyNumberFormat="1" applyBorder="1" applyAlignment="1">
      <alignment horizontal="center"/>
    </xf>
    <xf numFmtId="2" fontId="0" fillId="0" borderId="12" xfId="0" applyNumberFormat="1" applyBorder="1" applyAlignment="1">
      <alignment horizontal="center"/>
    </xf>
    <xf numFmtId="2" fontId="0" fillId="0" borderId="138" xfId="0" applyNumberFormat="1" applyBorder="1" applyAlignment="1">
      <alignment horizontal="center"/>
    </xf>
    <xf numFmtId="0" fontId="114" fillId="0" borderId="139" xfId="0" applyFont="1" applyBorder="1" applyAlignment="1">
      <alignment horizontal="right"/>
    </xf>
    <xf numFmtId="0" fontId="0" fillId="0" borderId="25" xfId="0" applyBorder="1" applyAlignment="1">
      <alignment horizontal="center"/>
    </xf>
    <xf numFmtId="0" fontId="0" fillId="0" borderId="43" xfId="0" applyBorder="1" applyAlignment="1">
      <alignment/>
    </xf>
    <xf numFmtId="0" fontId="0" fillId="0" borderId="0" xfId="0" applyAlignment="1">
      <alignment horizontal="left"/>
    </xf>
    <xf numFmtId="0" fontId="16" fillId="0" borderId="42" xfId="0" applyFont="1" applyBorder="1" applyAlignment="1">
      <alignment horizontal="left"/>
    </xf>
    <xf numFmtId="0" fontId="0" fillId="0" borderId="28" xfId="0" applyBorder="1" applyAlignment="1">
      <alignment/>
    </xf>
    <xf numFmtId="0" fontId="0" fillId="0" borderId="31" xfId="0" applyBorder="1" applyAlignment="1">
      <alignment/>
    </xf>
    <xf numFmtId="0" fontId="16" fillId="0" borderId="12" xfId="0" applyFont="1" applyBorder="1" applyAlignment="1">
      <alignment horizontal="center"/>
    </xf>
    <xf numFmtId="0" fontId="114" fillId="0" borderId="42" xfId="0" applyFont="1" applyBorder="1" applyAlignment="1">
      <alignment/>
    </xf>
    <xf numFmtId="0" fontId="17" fillId="0" borderId="28" xfId="0" applyFont="1" applyBorder="1" applyAlignment="1">
      <alignment horizontal="center"/>
    </xf>
    <xf numFmtId="0" fontId="49" fillId="0" borderId="0" xfId="0" applyFont="1" applyAlignment="1">
      <alignment horizontal="right"/>
    </xf>
    <xf numFmtId="0" fontId="49" fillId="0" borderId="0" xfId="0" applyFont="1" applyAlignment="1">
      <alignment/>
    </xf>
    <xf numFmtId="0" fontId="50" fillId="0" borderId="0" xfId="0" applyFont="1" applyAlignment="1">
      <alignment horizontal="right"/>
    </xf>
    <xf numFmtId="0" fontId="50" fillId="0" borderId="0" xfId="0" applyFont="1" applyAlignment="1">
      <alignment wrapText="1"/>
    </xf>
    <xf numFmtId="0" fontId="17" fillId="0" borderId="140" xfId="0" applyFont="1" applyBorder="1" applyAlignment="1">
      <alignment horizontal="center"/>
    </xf>
    <xf numFmtId="0" fontId="22" fillId="0" borderId="140" xfId="0" applyFont="1" applyBorder="1" applyAlignment="1">
      <alignment horizontal="center"/>
    </xf>
    <xf numFmtId="0" fontId="114" fillId="0" borderId="141" xfId="0" applyFont="1" applyBorder="1" applyAlignment="1">
      <alignment/>
    </xf>
    <xf numFmtId="0" fontId="20" fillId="0" borderId="142" xfId="0" applyFont="1" applyBorder="1" applyAlignment="1">
      <alignment/>
    </xf>
    <xf numFmtId="0" fontId="0" fillId="0" borderId="143" xfId="0" applyBorder="1" applyAlignment="1">
      <alignment/>
    </xf>
    <xf numFmtId="0" fontId="51" fillId="0" borderId="144" xfId="0" applyFont="1" applyBorder="1" applyAlignment="1" quotePrefix="1">
      <alignment horizontal="center"/>
    </xf>
    <xf numFmtId="0" fontId="22" fillId="0" borderId="29" xfId="0" applyFont="1" applyBorder="1" applyAlignment="1">
      <alignment wrapText="1"/>
    </xf>
    <xf numFmtId="0" fontId="20" fillId="0" borderId="0" xfId="0" applyFont="1" applyAlignment="1">
      <alignment/>
    </xf>
    <xf numFmtId="0" fontId="32" fillId="0" borderId="145" xfId="0" applyFont="1" applyBorder="1" applyAlignment="1" quotePrefix="1">
      <alignment horizontal="center"/>
    </xf>
    <xf numFmtId="0" fontId="51" fillId="0" borderId="144" xfId="0" applyFont="1" applyBorder="1" applyAlignment="1">
      <alignment horizontal="center"/>
    </xf>
    <xf numFmtId="0" fontId="32" fillId="0" borderId="146" xfId="0" applyFont="1" applyBorder="1" applyAlignment="1" quotePrefix="1">
      <alignment horizontal="center"/>
    </xf>
    <xf numFmtId="0" fontId="20" fillId="0" borderId="147" xfId="0" applyFont="1" applyBorder="1" applyAlignment="1">
      <alignment horizontal="right"/>
    </xf>
    <xf numFmtId="0" fontId="0" fillId="0" borderId="148" xfId="0" applyBorder="1" applyAlignment="1">
      <alignment/>
    </xf>
    <xf numFmtId="0" fontId="0" fillId="0" borderId="136" xfId="0" applyBorder="1" applyAlignment="1">
      <alignment horizontal="left" wrapText="1"/>
    </xf>
    <xf numFmtId="0" fontId="20" fillId="0" borderId="0" xfId="0" applyFont="1" applyAlignment="1">
      <alignment horizontal="left" wrapText="1"/>
    </xf>
    <xf numFmtId="0" fontId="0" fillId="0" borderId="72" xfId="0" applyBorder="1" applyAlignment="1">
      <alignment/>
    </xf>
    <xf numFmtId="0" fontId="17" fillId="0" borderId="136" xfId="0" applyFont="1" applyBorder="1" applyAlignment="1">
      <alignment/>
    </xf>
    <xf numFmtId="0" fontId="20" fillId="0" borderId="10" xfId="0" applyFont="1" applyBorder="1" applyAlignment="1">
      <alignment horizontal="left" wrapText="1"/>
    </xf>
    <xf numFmtId="0" fontId="20" fillId="36" borderId="10" xfId="0" applyFont="1" applyFill="1" applyBorder="1" applyAlignment="1">
      <alignment horizontal="left" wrapText="1"/>
    </xf>
    <xf numFmtId="0" fontId="22" fillId="0" borderId="0" xfId="0" applyFont="1" applyAlignment="1">
      <alignment horizontal="right"/>
    </xf>
    <xf numFmtId="2" fontId="17" fillId="0" borderId="138" xfId="0" applyNumberFormat="1" applyFont="1" applyBorder="1" applyAlignment="1">
      <alignment horizontal="center"/>
    </xf>
    <xf numFmtId="0" fontId="114" fillId="0" borderId="136" xfId="0" applyFont="1" applyBorder="1" applyAlignment="1">
      <alignment/>
    </xf>
    <xf numFmtId="2" fontId="17" fillId="0" borderId="137" xfId="0" applyNumberFormat="1" applyFont="1" applyBorder="1" applyAlignment="1">
      <alignment horizontal="center"/>
    </xf>
    <xf numFmtId="0" fontId="20" fillId="36" borderId="0" xfId="0" applyFont="1" applyFill="1" applyAlignment="1">
      <alignment horizontal="right"/>
    </xf>
    <xf numFmtId="0" fontId="20" fillId="0" borderId="142" xfId="0" applyFont="1" applyBorder="1" applyAlignment="1">
      <alignment horizontal="right"/>
    </xf>
    <xf numFmtId="0" fontId="22" fillId="0" borderId="143" xfId="0" applyFont="1" applyBorder="1" applyAlignment="1">
      <alignment horizontal="left" wrapText="1"/>
    </xf>
    <xf numFmtId="0" fontId="22" fillId="0" borderId="149" xfId="0" applyFont="1" applyBorder="1" applyAlignment="1">
      <alignment horizontal="left" wrapText="1"/>
    </xf>
    <xf numFmtId="0" fontId="0" fillId="0" borderId="150" xfId="0" applyBorder="1" applyAlignment="1">
      <alignment horizontal="center" vertical="top"/>
    </xf>
    <xf numFmtId="0" fontId="20" fillId="0" borderId="150" xfId="0" applyFont="1" applyBorder="1" applyAlignment="1">
      <alignment/>
    </xf>
    <xf numFmtId="0" fontId="0" fillId="0" borderId="150" xfId="0" applyBorder="1" applyAlignment="1">
      <alignment/>
    </xf>
    <xf numFmtId="0" fontId="120" fillId="0" borderId="0" xfId="0" applyFont="1" applyAlignment="1" quotePrefix="1">
      <alignment horizontal="center" vertical="center"/>
    </xf>
    <xf numFmtId="0" fontId="121" fillId="36" borderId="0" xfId="0" applyFont="1" applyFill="1" applyAlignment="1" quotePrefix="1">
      <alignment horizontal="center" vertical="center"/>
    </xf>
    <xf numFmtId="0" fontId="20" fillId="0" borderId="0" xfId="0" applyFont="1" applyAlignment="1">
      <alignment vertical="center" wrapText="1"/>
    </xf>
    <xf numFmtId="0" fontId="0" fillId="0" borderId="0" xfId="0" applyAlignment="1">
      <alignment wrapText="1"/>
    </xf>
    <xf numFmtId="0" fontId="62" fillId="0" borderId="28" xfId="0" applyFont="1" applyBorder="1" applyAlignment="1">
      <alignment horizontal="center" vertical="center" wrapText="1"/>
    </xf>
    <xf numFmtId="0" fontId="63" fillId="0" borderId="28" xfId="0" applyFont="1" applyBorder="1" applyAlignment="1">
      <alignment horizontal="center" vertical="center" wrapText="1"/>
    </xf>
    <xf numFmtId="0" fontId="122" fillId="0" borderId="28" xfId="0" applyFont="1" applyBorder="1" applyAlignment="1">
      <alignment horizontal="left" vertical="center"/>
    </xf>
    <xf numFmtId="0" fontId="123" fillId="0" borderId="28" xfId="0" applyFont="1" applyBorder="1" applyAlignment="1">
      <alignment horizontal="center" vertical="center"/>
    </xf>
    <xf numFmtId="0" fontId="123" fillId="0" borderId="28" xfId="0" applyFont="1" applyBorder="1" applyAlignment="1">
      <alignment horizontal="center" vertical="center" wrapText="1"/>
    </xf>
    <xf numFmtId="0" fontId="122" fillId="0" borderId="28" xfId="0" applyFont="1" applyBorder="1" applyAlignment="1">
      <alignment vertical="center"/>
    </xf>
    <xf numFmtId="0" fontId="122" fillId="0" borderId="28" xfId="0" applyFont="1" applyBorder="1" applyAlignment="1">
      <alignment horizontal="center" vertical="center"/>
    </xf>
    <xf numFmtId="0" fontId="122" fillId="13" borderId="28" xfId="0" applyFont="1" applyFill="1" applyBorder="1" applyAlignment="1">
      <alignment horizontal="center" vertical="center"/>
    </xf>
    <xf numFmtId="0" fontId="124" fillId="0" borderId="28" xfId="0" applyFont="1" applyBorder="1" applyAlignment="1">
      <alignment/>
    </xf>
    <xf numFmtId="0" fontId="0" fillId="0" borderId="28" xfId="0" applyBorder="1" applyAlignment="1">
      <alignment horizontal="center"/>
    </xf>
    <xf numFmtId="0" fontId="122" fillId="13" borderId="28" xfId="0" applyFont="1" applyFill="1" applyBorder="1" applyAlignment="1">
      <alignment vertical="center"/>
    </xf>
    <xf numFmtId="0" fontId="125" fillId="0" borderId="28" xfId="0" applyFont="1" applyBorder="1" applyAlignment="1">
      <alignment horizontal="left" vertical="center"/>
    </xf>
    <xf numFmtId="0" fontId="50" fillId="0" borderId="0" xfId="0" applyFont="1" applyAlignment="1">
      <alignment vertical="center"/>
    </xf>
    <xf numFmtId="0" fontId="70" fillId="0" borderId="0" xfId="0" applyFont="1" applyAlignment="1">
      <alignment vertical="center"/>
    </xf>
    <xf numFmtId="0" fontId="122" fillId="0" borderId="28" xfId="0" applyFont="1" applyBorder="1" applyAlignment="1">
      <alignment horizontal="left" vertical="center" wrapText="1"/>
    </xf>
    <xf numFmtId="0" fontId="122" fillId="0" borderId="28" xfId="0" applyFont="1" applyBorder="1" applyAlignment="1">
      <alignment horizontal="right" vertical="center"/>
    </xf>
    <xf numFmtId="0" fontId="0" fillId="0" borderId="51" xfId="0" applyBorder="1" applyAlignment="1">
      <alignment/>
    </xf>
    <xf numFmtId="0" fontId="0" fillId="0" borderId="75" xfId="0" applyBorder="1" applyAlignment="1">
      <alignment/>
    </xf>
    <xf numFmtId="0" fontId="0" fillId="0" borderId="10" xfId="0" applyBorder="1" applyAlignment="1">
      <alignment/>
    </xf>
    <xf numFmtId="0" fontId="125" fillId="0" borderId="28" xfId="0" applyFont="1" applyBorder="1" applyAlignment="1">
      <alignment horizontal="center" vertical="center"/>
    </xf>
    <xf numFmtId="0" fontId="0" fillId="0" borderId="14" xfId="0" applyBorder="1" applyAlignment="1">
      <alignment/>
    </xf>
    <xf numFmtId="0" fontId="123" fillId="0" borderId="0" xfId="0" applyFont="1" applyAlignment="1">
      <alignment vertical="center" wrapText="1"/>
    </xf>
    <xf numFmtId="0" fontId="126" fillId="0" borderId="28" xfId="0" applyFont="1" applyBorder="1" applyAlignment="1">
      <alignment horizontal="center" vertical="center" wrapText="1"/>
    </xf>
    <xf numFmtId="0" fontId="124" fillId="0" borderId="28" xfId="0" applyFont="1" applyBorder="1" applyAlignment="1">
      <alignment vertical="center"/>
    </xf>
    <xf numFmtId="0" fontId="127" fillId="0" borderId="28" xfId="0" applyFont="1" applyBorder="1" applyAlignment="1">
      <alignment horizontal="center" vertical="center"/>
    </xf>
    <xf numFmtId="0" fontId="127" fillId="0" borderId="28" xfId="0" applyFont="1" applyBorder="1" applyAlignment="1">
      <alignment horizontal="center" vertical="center" wrapText="1"/>
    </xf>
    <xf numFmtId="0" fontId="122" fillId="0" borderId="0" xfId="0" applyFont="1" applyAlignment="1">
      <alignment horizontal="center" vertical="center"/>
    </xf>
    <xf numFmtId="0" fontId="0" fillId="0" borderId="80" xfId="0" applyFont="1" applyFill="1" applyBorder="1" applyAlignment="1" applyProtection="1">
      <alignment horizontal="center" vertical="center" wrapText="1"/>
      <protection hidden="1"/>
    </xf>
    <xf numFmtId="0" fontId="0" fillId="35" borderId="83" xfId="0" applyFont="1" applyFill="1" applyBorder="1" applyAlignment="1" applyProtection="1">
      <alignment horizontal="center" vertical="center" wrapText="1"/>
      <protection hidden="1"/>
    </xf>
    <xf numFmtId="43" fontId="0" fillId="35" borderId="130" xfId="45" applyFont="1" applyFill="1" applyBorder="1" applyAlignment="1" applyProtection="1">
      <alignment vertical="center" wrapText="1"/>
      <protection hidden="1"/>
    </xf>
    <xf numFmtId="43" fontId="0" fillId="0" borderId="70" xfId="45" applyFont="1" applyFill="1" applyBorder="1" applyAlignment="1" applyProtection="1">
      <alignment horizontal="right" vertical="center" wrapText="1"/>
      <protection hidden="1"/>
    </xf>
    <xf numFmtId="0" fontId="0" fillId="35" borderId="70" xfId="0" applyFont="1" applyFill="1" applyBorder="1" applyAlignment="1" applyProtection="1" quotePrefix="1">
      <alignment horizontal="center" vertical="center" wrapText="1"/>
      <protection hidden="1"/>
    </xf>
    <xf numFmtId="0" fontId="0" fillId="0" borderId="90" xfId="0" applyFont="1" applyFill="1" applyBorder="1" applyAlignment="1" applyProtection="1">
      <alignment horizontal="center" vertical="center" wrapText="1"/>
      <protection locked="0"/>
    </xf>
    <xf numFmtId="43" fontId="0" fillId="0" borderId="75" xfId="45" applyFont="1" applyBorder="1" applyAlignment="1">
      <alignment horizontal="center"/>
    </xf>
    <xf numFmtId="43" fontId="0" fillId="0" borderId="12" xfId="45" applyFont="1" applyBorder="1" applyAlignment="1">
      <alignment/>
    </xf>
    <xf numFmtId="43" fontId="0" fillId="0" borderId="138" xfId="45" applyFont="1" applyBorder="1" applyAlignment="1">
      <alignment/>
    </xf>
    <xf numFmtId="43" fontId="20" fillId="0" borderId="13" xfId="45" applyFont="1" applyBorder="1" applyAlignment="1">
      <alignment horizontal="center" vertical="center" wrapText="1"/>
    </xf>
    <xf numFmtId="43" fontId="0" fillId="0" borderId="13" xfId="45" applyFont="1" applyBorder="1" applyAlignment="1">
      <alignment/>
    </xf>
    <xf numFmtId="43" fontId="0" fillId="0" borderId="137" xfId="45" applyFont="1" applyBorder="1" applyAlignment="1">
      <alignment/>
    </xf>
    <xf numFmtId="43" fontId="0" fillId="0" borderId="24" xfId="45" applyFont="1" applyBorder="1" applyAlignment="1">
      <alignment/>
    </xf>
    <xf numFmtId="43" fontId="0" fillId="0" borderId="11" xfId="45" applyFont="1" applyBorder="1" applyAlignment="1">
      <alignment horizontal="center"/>
    </xf>
    <xf numFmtId="43" fontId="0" fillId="0" borderId="72" xfId="45" applyFont="1" applyBorder="1" applyAlignment="1">
      <alignment horizontal="center"/>
    </xf>
    <xf numFmtId="43" fontId="0" fillId="0" borderId="31" xfId="45" applyFont="1" applyBorder="1" applyAlignment="1">
      <alignment horizontal="center"/>
    </xf>
    <xf numFmtId="43" fontId="119" fillId="0" borderId="11" xfId="45" applyFont="1" applyBorder="1" applyAlignment="1">
      <alignment horizontal="center"/>
    </xf>
    <xf numFmtId="43" fontId="119" fillId="0" borderId="72" xfId="45" applyFont="1" applyBorder="1" applyAlignment="1">
      <alignment horizontal="center"/>
    </xf>
    <xf numFmtId="43" fontId="114" fillId="0" borderId="11" xfId="45" applyFont="1" applyBorder="1" applyAlignment="1">
      <alignment horizontal="center"/>
    </xf>
    <xf numFmtId="43" fontId="114" fillId="0" borderId="72" xfId="45" applyFont="1" applyBorder="1" applyAlignment="1">
      <alignment horizontal="center"/>
    </xf>
    <xf numFmtId="43" fontId="0" fillId="0" borderId="13" xfId="45" applyFont="1" applyBorder="1" applyAlignment="1">
      <alignment horizontal="center"/>
    </xf>
    <xf numFmtId="43" fontId="0" fillId="0" borderId="137" xfId="45" applyFont="1" applyBorder="1" applyAlignment="1">
      <alignment horizontal="center"/>
    </xf>
    <xf numFmtId="43" fontId="114" fillId="0" borderId="25" xfId="45" applyFont="1" applyBorder="1" applyAlignment="1">
      <alignment horizontal="center"/>
    </xf>
    <xf numFmtId="43" fontId="114" fillId="0" borderId="151" xfId="45" applyFont="1" applyBorder="1" applyAlignment="1">
      <alignment horizontal="center"/>
    </xf>
    <xf numFmtId="43" fontId="20" fillId="0" borderId="28" xfId="45" applyFont="1" applyFill="1" applyBorder="1" applyAlignment="1">
      <alignment horizontal="center" vertical="center" wrapText="1"/>
    </xf>
    <xf numFmtId="43" fontId="22" fillId="0" borderId="28" xfId="45" applyFont="1" applyFill="1" applyBorder="1" applyAlignment="1">
      <alignment horizontal="center" vertical="center" wrapText="1"/>
    </xf>
    <xf numFmtId="0" fontId="0" fillId="0" borderId="136" xfId="0" applyFont="1" applyBorder="1" applyAlignment="1">
      <alignment wrapText="1"/>
    </xf>
    <xf numFmtId="0" fontId="15" fillId="0" borderId="71" xfId="0" applyFont="1" applyFill="1" applyBorder="1" applyAlignment="1">
      <alignment horizontal="center" vertical="center"/>
    </xf>
    <xf numFmtId="0" fontId="4" fillId="0" borderId="21" xfId="0" applyFont="1" applyFill="1" applyBorder="1" applyAlignment="1" applyProtection="1">
      <alignment horizontal="center" vertical="center" wrapText="1"/>
      <protection hidden="1"/>
    </xf>
    <xf numFmtId="0" fontId="4" fillId="0" borderId="109" xfId="0" applyFont="1" applyFill="1" applyBorder="1" applyAlignment="1" applyProtection="1">
      <alignment horizontal="center" vertical="center" wrapText="1"/>
      <protection hidden="1"/>
    </xf>
    <xf numFmtId="0" fontId="4" fillId="0" borderId="110" xfId="0" applyFont="1" applyFill="1" applyBorder="1" applyAlignment="1" applyProtection="1" quotePrefix="1">
      <alignment horizontal="center" vertical="center" wrapText="1"/>
      <protection hidden="1"/>
    </xf>
    <xf numFmtId="0" fontId="0" fillId="0" borderId="110" xfId="0" applyFont="1" applyFill="1" applyBorder="1" applyAlignment="1" applyProtection="1">
      <alignment horizontal="center" vertical="center" wrapText="1"/>
      <protection hidden="1"/>
    </xf>
    <xf numFmtId="0" fontId="0" fillId="0" borderId="111" xfId="0" applyFont="1" applyFill="1" applyBorder="1" applyAlignment="1" applyProtection="1">
      <alignment vertical="center" wrapText="1"/>
      <protection hidden="1"/>
    </xf>
    <xf numFmtId="43" fontId="0" fillId="0" borderId="110" xfId="45" applyFont="1" applyFill="1" applyBorder="1" applyAlignment="1" applyProtection="1">
      <alignment vertical="center" wrapText="1"/>
      <protection hidden="1"/>
    </xf>
    <xf numFmtId="0" fontId="0" fillId="0" borderId="86" xfId="0" applyFont="1" applyFill="1" applyBorder="1" applyAlignment="1" applyProtection="1">
      <alignment vertical="center" wrapText="1"/>
      <protection hidden="1"/>
    </xf>
    <xf numFmtId="43" fontId="0" fillId="0" borderId="93" xfId="45" applyFont="1" applyFill="1" applyBorder="1" applyAlignment="1" applyProtection="1">
      <alignment vertical="center" wrapText="1"/>
      <protection hidden="1"/>
    </xf>
    <xf numFmtId="0" fontId="0" fillId="0" borderId="21" xfId="0" applyFont="1" applyFill="1" applyBorder="1" applyAlignment="1" applyProtection="1">
      <alignment vertical="center" wrapText="1"/>
      <protection hidden="1"/>
    </xf>
    <xf numFmtId="0" fontId="4" fillId="0" borderId="21" xfId="0" applyFont="1" applyFill="1" applyBorder="1" applyAlignment="1" applyProtection="1">
      <alignment vertical="center" wrapText="1"/>
      <protection hidden="1"/>
    </xf>
    <xf numFmtId="43" fontId="0" fillId="0" borderId="123" xfId="45" applyFont="1" applyFill="1" applyBorder="1" applyAlignment="1" applyProtection="1">
      <alignment vertical="center" wrapText="1"/>
      <protection hidden="1"/>
    </xf>
    <xf numFmtId="165" fontId="0" fillId="35" borderId="0" xfId="0" applyNumberFormat="1" applyFont="1" applyFill="1" applyBorder="1" applyAlignment="1" applyProtection="1">
      <alignment vertical="center" wrapText="1"/>
      <protection locked="0"/>
    </xf>
    <xf numFmtId="43" fontId="117" fillId="35" borderId="0" xfId="45" applyFont="1" applyFill="1" applyAlignment="1" applyProtection="1">
      <alignment vertical="center" wrapText="1"/>
      <protection hidden="1"/>
    </xf>
    <xf numFmtId="43" fontId="117" fillId="0" borderId="0" xfId="45" applyFont="1" applyFill="1" applyBorder="1" applyAlignment="1" applyProtection="1">
      <alignment vertical="center" wrapText="1"/>
      <protection locked="0"/>
    </xf>
    <xf numFmtId="43" fontId="0" fillId="0" borderId="114" xfId="45" applyFont="1" applyFill="1" applyBorder="1" applyAlignment="1" applyProtection="1">
      <alignment vertical="center" wrapText="1"/>
      <protection locked="0"/>
    </xf>
    <xf numFmtId="43" fontId="0" fillId="0" borderId="113" xfId="45" applyFont="1" applyFill="1" applyBorder="1" applyAlignment="1" applyProtection="1">
      <alignment vertical="center" wrapText="1"/>
      <protection locked="0"/>
    </xf>
    <xf numFmtId="43" fontId="0" fillId="0" borderId="118" xfId="45" applyFont="1" applyFill="1" applyBorder="1" applyAlignment="1" applyProtection="1">
      <alignment vertical="center" wrapText="1"/>
      <protection locked="0"/>
    </xf>
    <xf numFmtId="43" fontId="0" fillId="0" borderId="119" xfId="45" applyFont="1" applyFill="1" applyBorder="1" applyAlignment="1" applyProtection="1">
      <alignment vertical="center" wrapText="1"/>
      <protection locked="0"/>
    </xf>
    <xf numFmtId="43" fontId="0" fillId="0" borderId="129" xfId="45" applyFont="1" applyFill="1" applyBorder="1" applyAlignment="1" applyProtection="1">
      <alignment vertical="center" wrapText="1"/>
      <protection hidden="1"/>
    </xf>
    <xf numFmtId="43" fontId="117" fillId="35" borderId="0" xfId="45" applyFont="1" applyFill="1" applyBorder="1" applyAlignment="1" applyProtection="1">
      <alignment vertical="center" wrapText="1"/>
      <protection hidden="1"/>
    </xf>
    <xf numFmtId="43" fontId="117" fillId="35" borderId="0" xfId="45" applyFont="1" applyFill="1" applyBorder="1" applyAlignment="1" applyProtection="1">
      <alignment horizontal="center" vertical="center" wrapText="1"/>
      <protection hidden="1"/>
    </xf>
    <xf numFmtId="0" fontId="0" fillId="0" borderId="77" xfId="0" applyFont="1" applyFill="1" applyBorder="1" applyAlignment="1" applyProtection="1">
      <alignment horizontal="center" vertical="center" wrapText="1"/>
      <protection hidden="1"/>
    </xf>
    <xf numFmtId="43" fontId="4" fillId="0" borderId="152" xfId="0" applyNumberFormat="1" applyFont="1" applyFill="1" applyBorder="1" applyAlignment="1" applyProtection="1">
      <alignment vertical="center" wrapText="1"/>
      <protection locked="0"/>
    </xf>
    <xf numFmtId="0" fontId="0" fillId="0" borderId="98" xfId="0" applyFont="1" applyFill="1" applyBorder="1" applyAlignment="1" applyProtection="1" quotePrefix="1">
      <alignment horizontal="center" vertical="center" wrapText="1"/>
      <protection hidden="1"/>
    </xf>
    <xf numFmtId="43" fontId="0" fillId="0" borderId="0" xfId="45" applyFont="1" applyBorder="1" applyAlignment="1">
      <alignment/>
    </xf>
    <xf numFmtId="0" fontId="0" fillId="0" borderId="0" xfId="0" applyBorder="1" applyAlignment="1">
      <alignment/>
    </xf>
    <xf numFmtId="0" fontId="119" fillId="0" borderId="0" xfId="0" applyFont="1" applyBorder="1" applyAlignment="1">
      <alignment/>
    </xf>
    <xf numFmtId="43" fontId="0" fillId="0" borderId="70" xfId="45" applyFont="1" applyFill="1" applyBorder="1" applyAlignment="1" applyProtection="1">
      <alignment vertical="center" wrapText="1"/>
      <protection locked="0"/>
    </xf>
    <xf numFmtId="43" fontId="0" fillId="0" borderId="100" xfId="45" applyFont="1" applyFill="1" applyBorder="1" applyAlignment="1" applyProtection="1">
      <alignment vertical="center" wrapText="1"/>
      <protection locked="0"/>
    </xf>
    <xf numFmtId="43" fontId="0" fillId="0" borderId="110" xfId="45" applyFont="1" applyFill="1" applyBorder="1" applyAlignment="1" applyProtection="1">
      <alignment vertical="center" wrapText="1"/>
      <protection locked="0"/>
    </xf>
    <xf numFmtId="43" fontId="0" fillId="0" borderId="153" xfId="45" applyFont="1" applyFill="1" applyBorder="1" applyAlignment="1" applyProtection="1">
      <alignment vertical="center" wrapText="1"/>
      <protection locked="0"/>
    </xf>
    <xf numFmtId="43" fontId="0" fillId="0" borderId="0" xfId="45" applyFont="1" applyFill="1" applyBorder="1" applyAlignment="1" applyProtection="1">
      <alignment vertical="center" wrapText="1"/>
      <protection locked="0"/>
    </xf>
    <xf numFmtId="0" fontId="0" fillId="35" borderId="132" xfId="0" applyFont="1" applyFill="1" applyBorder="1" applyAlignment="1" applyProtection="1" quotePrefix="1">
      <alignment horizontal="center" vertical="center" wrapText="1"/>
      <protection locked="0"/>
    </xf>
    <xf numFmtId="0" fontId="0" fillId="35" borderId="132" xfId="0" applyFont="1" applyFill="1" applyBorder="1" applyAlignment="1" applyProtection="1">
      <alignment vertical="center" wrapText="1"/>
      <protection locked="0"/>
    </xf>
    <xf numFmtId="0" fontId="26" fillId="0" borderId="70" xfId="0" applyFont="1" applyFill="1" applyBorder="1" applyAlignment="1" applyProtection="1">
      <alignment horizontal="center" vertical="center" wrapText="1"/>
      <protection locked="0"/>
    </xf>
    <xf numFmtId="0" fontId="0" fillId="0" borderId="86" xfId="0" applyFont="1" applyFill="1" applyBorder="1" applyAlignment="1" applyProtection="1" quotePrefix="1">
      <alignment horizontal="center" vertical="center" wrapText="1"/>
      <protection locked="0"/>
    </xf>
    <xf numFmtId="0" fontId="0" fillId="0" borderId="86" xfId="0" applyFont="1" applyFill="1" applyBorder="1" applyAlignment="1" applyProtection="1">
      <alignment vertical="center" wrapText="1"/>
      <protection locked="0"/>
    </xf>
    <xf numFmtId="49" fontId="4" fillId="0" borderId="86"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wrapText="1"/>
      <protection locked="0"/>
    </xf>
    <xf numFmtId="0" fontId="4" fillId="0" borderId="70" xfId="0" applyFont="1" applyFill="1" applyBorder="1" applyAlignment="1" applyProtection="1">
      <alignment horizontal="center" vertical="center" wrapText="1"/>
      <protection locked="0"/>
    </xf>
    <xf numFmtId="0" fontId="0" fillId="0" borderId="90" xfId="0" applyFont="1" applyFill="1" applyBorder="1" applyAlignment="1" applyProtection="1">
      <alignment vertical="center" wrapText="1"/>
      <protection locked="0"/>
    </xf>
    <xf numFmtId="0" fontId="0" fillId="0" borderId="70" xfId="0" applyFont="1" applyFill="1" applyBorder="1" applyAlignment="1" applyProtection="1" quotePrefix="1">
      <alignment horizontal="center" vertical="center" wrapText="1"/>
      <protection locked="0"/>
    </xf>
    <xf numFmtId="0" fontId="0" fillId="0" borderId="70" xfId="0" applyFont="1" applyFill="1" applyBorder="1" applyAlignment="1" applyProtection="1">
      <alignment vertical="center" wrapText="1"/>
      <protection locked="0"/>
    </xf>
    <xf numFmtId="0" fontId="0" fillId="0" borderId="70" xfId="0" applyFont="1" applyFill="1" applyBorder="1" applyAlignment="1" applyProtection="1">
      <alignment vertical="center" wrapText="1"/>
      <protection locked="0"/>
    </xf>
    <xf numFmtId="0" fontId="15" fillId="0" borderId="71" xfId="54" applyFont="1" applyFill="1" applyBorder="1" applyAlignment="1" applyProtection="1" quotePrefix="1">
      <alignment horizontal="center" vertical="center" wrapText="1"/>
      <protection locked="0"/>
    </xf>
    <xf numFmtId="0" fontId="0" fillId="0" borderId="71" xfId="0" applyFont="1" applyFill="1" applyBorder="1" applyAlignment="1" applyProtection="1">
      <alignment vertical="center" wrapText="1"/>
      <protection locked="0"/>
    </xf>
    <xf numFmtId="0" fontId="0" fillId="0" borderId="84" xfId="0" applyFont="1" applyFill="1" applyBorder="1" applyAlignment="1" applyProtection="1">
      <alignment horizontal="center" vertical="center" wrapText="1"/>
      <protection hidden="1"/>
    </xf>
    <xf numFmtId="0" fontId="0" fillId="0" borderId="81" xfId="0" applyFont="1" applyFill="1" applyBorder="1" applyAlignment="1" applyProtection="1">
      <alignment horizontal="center" vertical="center" wrapText="1"/>
      <protection hidden="1"/>
    </xf>
    <xf numFmtId="0" fontId="0" fillId="35" borderId="154" xfId="0" applyFont="1" applyFill="1" applyBorder="1" applyAlignment="1" applyProtection="1">
      <alignment horizontal="center" vertical="center" wrapText="1"/>
      <protection hidden="1"/>
    </xf>
    <xf numFmtId="0" fontId="0" fillId="35" borderId="90" xfId="0" applyFont="1" applyFill="1" applyBorder="1" applyAlignment="1" applyProtection="1">
      <alignment vertical="center" wrapText="1"/>
      <protection locked="0"/>
    </xf>
    <xf numFmtId="43" fontId="0" fillId="35" borderId="88" xfId="45" applyFont="1" applyFill="1" applyBorder="1" applyAlignment="1" applyProtection="1">
      <alignment vertical="center" wrapText="1"/>
      <protection locked="0"/>
    </xf>
    <xf numFmtId="43" fontId="0" fillId="37" borderId="117" xfId="45" applyFont="1" applyFill="1" applyBorder="1" applyAlignment="1" applyProtection="1">
      <alignment vertical="center" wrapText="1"/>
      <protection hidden="1"/>
    </xf>
    <xf numFmtId="43" fontId="30" fillId="12" borderId="28" xfId="45" applyFont="1" applyFill="1" applyBorder="1" applyAlignment="1">
      <alignment horizontal="center" vertical="center"/>
    </xf>
    <xf numFmtId="0" fontId="0" fillId="0" borderId="110" xfId="0" applyFont="1" applyFill="1" applyBorder="1" applyAlignment="1" applyProtection="1" quotePrefix="1">
      <alignment horizontal="center" vertical="center" wrapText="1"/>
      <protection locked="0"/>
    </xf>
    <xf numFmtId="0" fontId="0" fillId="0" borderId="110" xfId="0" applyFont="1" applyFill="1" applyBorder="1" applyAlignment="1" applyProtection="1">
      <alignment vertical="center" wrapText="1"/>
      <protection locked="0"/>
    </xf>
    <xf numFmtId="43" fontId="0" fillId="0" borderId="27" xfId="0" applyNumberFormat="1" applyFill="1" applyBorder="1" applyAlignment="1">
      <alignment vertical="center"/>
    </xf>
    <xf numFmtId="165" fontId="0" fillId="0" borderId="27" xfId="0" applyNumberFormat="1" applyFill="1" applyBorder="1" applyAlignment="1">
      <alignment vertical="center"/>
    </xf>
    <xf numFmtId="43" fontId="0" fillId="0" borderId="29" xfId="0" applyNumberFormat="1" applyFill="1" applyBorder="1" applyAlignment="1">
      <alignment vertical="center"/>
    </xf>
    <xf numFmtId="43" fontId="0" fillId="0" borderId="0" xfId="0" applyNumberFormat="1" applyBorder="1" applyAlignment="1">
      <alignment/>
    </xf>
    <xf numFmtId="43" fontId="22" fillId="0" borderId="42" xfId="45" applyFont="1" applyBorder="1" applyAlignment="1">
      <alignment vertical="center" wrapText="1"/>
    </xf>
    <xf numFmtId="43" fontId="20" fillId="0" borderId="43" xfId="45" applyFont="1" applyBorder="1" applyAlignment="1">
      <alignment vertical="center" wrapText="1"/>
    </xf>
    <xf numFmtId="0" fontId="0" fillId="35" borderId="70" xfId="0" applyFont="1" applyFill="1" applyBorder="1" applyAlignment="1" applyProtection="1">
      <alignment vertical="center" wrapText="1"/>
      <protection hidden="1"/>
    </xf>
    <xf numFmtId="43" fontId="4" fillId="0" borderId="155" xfId="45" applyFont="1" applyFill="1" applyBorder="1" applyAlignment="1" applyProtection="1">
      <alignment vertical="center" wrapText="1"/>
      <protection hidden="1"/>
    </xf>
    <xf numFmtId="43" fontId="4" fillId="35" borderId="155" xfId="45" applyFont="1" applyFill="1" applyBorder="1" applyAlignment="1" applyProtection="1">
      <alignment vertical="center" wrapText="1"/>
      <protection hidden="1"/>
    </xf>
    <xf numFmtId="43" fontId="0" fillId="0" borderId="27" xfId="45" applyFont="1" applyFill="1" applyBorder="1" applyAlignment="1">
      <alignment vertical="center"/>
    </xf>
    <xf numFmtId="165" fontId="0" fillId="0" borderId="0" xfId="0" applyNumberFormat="1" applyFill="1" applyBorder="1" applyAlignment="1">
      <alignment/>
    </xf>
    <xf numFmtId="43" fontId="119" fillId="0" borderId="0" xfId="0" applyNumberFormat="1" applyFont="1" applyFill="1" applyBorder="1" applyAlignment="1">
      <alignment/>
    </xf>
    <xf numFmtId="43" fontId="0" fillId="0" borderId="0" xfId="0" applyNumberFormat="1" applyAlignment="1">
      <alignment/>
    </xf>
    <xf numFmtId="0" fontId="26" fillId="35" borderId="71" xfId="0" applyFont="1" applyFill="1" applyBorder="1" applyAlignment="1" applyProtection="1">
      <alignment horizontal="center" vertical="center" wrapText="1"/>
      <protection locked="0"/>
    </xf>
    <xf numFmtId="0" fontId="26" fillId="35" borderId="79" xfId="0" applyFont="1" applyFill="1" applyBorder="1" applyAlignment="1" applyProtection="1">
      <alignment horizontal="center" vertical="center" wrapText="1"/>
      <protection locked="0"/>
    </xf>
    <xf numFmtId="0" fontId="26" fillId="35" borderId="100" xfId="0" applyFont="1" applyFill="1" applyBorder="1" applyAlignment="1" applyProtection="1">
      <alignment horizontal="center" vertical="center" wrapText="1"/>
      <protection locked="0"/>
    </xf>
    <xf numFmtId="0" fontId="26" fillId="0" borderId="7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71" xfId="0" applyFont="1" applyFill="1" applyBorder="1" applyAlignment="1" applyProtection="1">
      <alignment horizontal="center" vertical="center" wrapText="1"/>
      <protection locked="0"/>
    </xf>
    <xf numFmtId="0" fontId="26" fillId="13" borderId="70" xfId="0" applyFont="1" applyFill="1" applyBorder="1" applyAlignment="1" applyProtection="1">
      <alignment horizontal="center" vertical="center" wrapText="1"/>
      <protection locked="0"/>
    </xf>
    <xf numFmtId="0" fontId="0" fillId="0" borderId="71" xfId="49" applyFont="1" applyFill="1" applyBorder="1" applyAlignment="1">
      <alignment vertical="center" wrapText="1"/>
      <protection/>
    </xf>
    <xf numFmtId="43" fontId="30" fillId="4" borderId="42" xfId="45" applyFont="1" applyFill="1" applyBorder="1" applyAlignment="1" applyProtection="1">
      <alignment horizontal="center" vertical="center"/>
      <protection locked="0"/>
    </xf>
    <xf numFmtId="43" fontId="30" fillId="4" borderId="54" xfId="45" applyFont="1" applyFill="1" applyBorder="1" applyAlignment="1" applyProtection="1">
      <alignment vertical="center"/>
      <protection locked="0"/>
    </xf>
    <xf numFmtId="0" fontId="30" fillId="0" borderId="65" xfId="0" applyFont="1" applyFill="1" applyBorder="1" applyAlignment="1">
      <alignment vertical="center"/>
    </xf>
    <xf numFmtId="43" fontId="33" fillId="4" borderId="15" xfId="45" applyFont="1" applyFill="1" applyBorder="1" applyAlignment="1">
      <alignment horizontal="center" vertical="center"/>
    </xf>
    <xf numFmtId="43" fontId="33" fillId="4" borderId="16" xfId="45" applyFont="1" applyFill="1" applyBorder="1" applyAlignment="1">
      <alignment horizontal="center" vertical="center"/>
    </xf>
    <xf numFmtId="43" fontId="4" fillId="35" borderId="24" xfId="45" applyFont="1" applyFill="1" applyBorder="1" applyAlignment="1" applyProtection="1">
      <alignment vertical="center" wrapText="1"/>
      <protection hidden="1"/>
    </xf>
    <xf numFmtId="43" fontId="4" fillId="0" borderId="71" xfId="45" applyFont="1" applyFill="1" applyBorder="1" applyAlignment="1" applyProtection="1">
      <alignment vertical="center" wrapText="1"/>
      <protection hidden="1"/>
    </xf>
    <xf numFmtId="43" fontId="4" fillId="35" borderId="84" xfId="45" applyFont="1" applyFill="1" applyBorder="1" applyAlignment="1" applyProtection="1">
      <alignment vertical="center" wrapText="1"/>
      <protection hidden="1"/>
    </xf>
    <xf numFmtId="43" fontId="4" fillId="0" borderId="84" xfId="45" applyFont="1" applyFill="1" applyBorder="1" applyAlignment="1" applyProtection="1">
      <alignment vertical="center" wrapText="1"/>
      <protection hidden="1"/>
    </xf>
    <xf numFmtId="43" fontId="4" fillId="0" borderId="81" xfId="45" applyFont="1" applyFill="1" applyBorder="1" applyAlignment="1" applyProtection="1">
      <alignment vertical="center" wrapText="1"/>
      <protection hidden="1"/>
    </xf>
    <xf numFmtId="43" fontId="4" fillId="35" borderId="81" xfId="45" applyFont="1" applyFill="1" applyBorder="1" applyAlignment="1" applyProtection="1">
      <alignment vertical="center" wrapText="1"/>
      <protection hidden="1"/>
    </xf>
    <xf numFmtId="43" fontId="4" fillId="0" borderId="86" xfId="45" applyFont="1" applyFill="1" applyBorder="1" applyAlignment="1" applyProtection="1">
      <alignment vertical="center" wrapText="1"/>
      <protection hidden="1"/>
    </xf>
    <xf numFmtId="0" fontId="0" fillId="35" borderId="110" xfId="0" applyFont="1" applyFill="1" applyBorder="1" applyAlignment="1" applyProtection="1">
      <alignment horizontal="left" vertical="center" wrapText="1"/>
      <protection hidden="1"/>
    </xf>
    <xf numFmtId="43" fontId="4" fillId="0" borderId="110" xfId="45" applyFont="1" applyFill="1" applyBorder="1" applyAlignment="1" applyProtection="1">
      <alignment vertical="center" wrapText="1"/>
      <protection hidden="1"/>
    </xf>
    <xf numFmtId="43" fontId="4" fillId="35" borderId="93" xfId="45" applyFont="1" applyFill="1" applyBorder="1" applyAlignment="1" applyProtection="1">
      <alignment vertical="center" wrapText="1"/>
      <protection hidden="1"/>
    </xf>
    <xf numFmtId="43" fontId="0" fillId="0" borderId="83" xfId="45" applyFont="1" applyFill="1" applyBorder="1" applyAlignment="1" applyProtection="1">
      <alignment vertical="center" wrapText="1"/>
      <protection hidden="1"/>
    </xf>
    <xf numFmtId="43" fontId="0" fillId="0" borderId="111" xfId="45" applyFont="1" applyFill="1" applyBorder="1" applyAlignment="1" applyProtection="1">
      <alignment vertical="center" wrapText="1"/>
      <protection hidden="1"/>
    </xf>
    <xf numFmtId="43" fontId="0" fillId="0" borderId="104" xfId="45" applyFont="1" applyFill="1" applyBorder="1" applyAlignment="1" applyProtection="1">
      <alignment vertical="center" wrapText="1"/>
      <protection hidden="1"/>
    </xf>
    <xf numFmtId="43" fontId="39" fillId="38" borderId="28" xfId="45" applyFont="1" applyFill="1" applyBorder="1" applyAlignment="1" applyProtection="1">
      <alignment horizontal="center" vertical="center"/>
      <protection locked="0"/>
    </xf>
    <xf numFmtId="43" fontId="39" fillId="38" borderId="156" xfId="45" applyFont="1" applyFill="1" applyBorder="1" applyAlignment="1" applyProtection="1">
      <alignment horizontal="center" vertical="center"/>
      <protection locked="0"/>
    </xf>
    <xf numFmtId="43" fontId="0" fillId="0" borderId="107" xfId="45" applyFont="1" applyFill="1" applyBorder="1" applyAlignment="1" applyProtection="1">
      <alignment vertical="center" wrapText="1"/>
      <protection hidden="1"/>
    </xf>
    <xf numFmtId="43" fontId="0" fillId="0" borderId="128" xfId="45" applyFont="1" applyFill="1" applyBorder="1" applyAlignment="1" applyProtection="1">
      <alignment vertical="center" wrapText="1"/>
      <protection hidden="1"/>
    </xf>
    <xf numFmtId="43" fontId="0" fillId="0" borderId="11" xfId="0" applyNumberFormat="1" applyBorder="1" applyAlignment="1">
      <alignment/>
    </xf>
    <xf numFmtId="43" fontId="17" fillId="0" borderId="157" xfId="45" applyFont="1" applyBorder="1" applyAlignment="1">
      <alignment horizontal="center"/>
    </xf>
    <xf numFmtId="43" fontId="16" fillId="0" borderId="157" xfId="45" applyFont="1" applyBorder="1" applyAlignment="1">
      <alignment horizontal="center"/>
    </xf>
    <xf numFmtId="43" fontId="17" fillId="0" borderId="158" xfId="45" applyFont="1" applyBorder="1" applyAlignment="1">
      <alignment horizontal="center"/>
    </xf>
    <xf numFmtId="43" fontId="17" fillId="0" borderId="157" xfId="45" applyFont="1" applyFill="1" applyBorder="1" applyAlignment="1">
      <alignment horizontal="center"/>
    </xf>
    <xf numFmtId="43" fontId="100" fillId="0" borderId="72" xfId="45" applyFont="1" applyFill="1" applyBorder="1" applyAlignment="1">
      <alignment horizontal="center"/>
    </xf>
    <xf numFmtId="43" fontId="16" fillId="0" borderId="158" xfId="45" applyFont="1" applyFill="1" applyBorder="1" applyAlignment="1">
      <alignment horizontal="center"/>
    </xf>
    <xf numFmtId="43" fontId="117" fillId="0" borderId="0" xfId="45" applyFont="1" applyFill="1" applyAlignment="1" applyProtection="1">
      <alignment vertical="center" wrapText="1"/>
      <protection hidden="1"/>
    </xf>
    <xf numFmtId="43" fontId="5" fillId="0" borderId="0" xfId="45" applyFont="1" applyFill="1" applyAlignment="1" applyProtection="1">
      <alignment vertical="center" wrapText="1"/>
      <protection hidden="1"/>
    </xf>
    <xf numFmtId="43" fontId="128" fillId="0" borderId="0" xfId="0" applyNumberFormat="1" applyFont="1" applyFill="1" applyBorder="1" applyAlignment="1">
      <alignment vertical="center"/>
    </xf>
    <xf numFmtId="165" fontId="128" fillId="0" borderId="0" xfId="0" applyNumberFormat="1" applyFont="1" applyFill="1" applyBorder="1" applyAlignment="1">
      <alignment vertical="center"/>
    </xf>
    <xf numFmtId="165" fontId="37" fillId="0" borderId="0" xfId="0" applyNumberFormat="1" applyFont="1" applyFill="1" applyBorder="1" applyAlignment="1">
      <alignment vertical="center"/>
    </xf>
    <xf numFmtId="43" fontId="26" fillId="35" borderId="0" xfId="45" applyFont="1" applyFill="1" applyBorder="1" applyAlignment="1" applyProtection="1">
      <alignment horizontal="center" vertical="center" wrapText="1"/>
      <protection locked="0"/>
    </xf>
    <xf numFmtId="49" fontId="0" fillId="35" borderId="71" xfId="0" applyNumberFormat="1" applyFont="1" applyFill="1" applyBorder="1" applyAlignment="1" applyProtection="1">
      <alignment horizontal="center" vertical="center" wrapText="1"/>
      <protection locked="0"/>
    </xf>
    <xf numFmtId="49" fontId="0" fillId="0" borderId="71" xfId="0" applyNumberFormat="1" applyFont="1" applyFill="1" applyBorder="1" applyAlignment="1" applyProtection="1">
      <alignment horizontal="center" vertical="center" wrapText="1"/>
      <protection locked="0"/>
    </xf>
    <xf numFmtId="49" fontId="0" fillId="0" borderId="70" xfId="0" applyNumberFormat="1" applyFont="1" applyFill="1" applyBorder="1" applyAlignment="1" applyProtection="1">
      <alignment horizontal="center" vertical="center" wrapText="1"/>
      <protection locked="0"/>
    </xf>
    <xf numFmtId="0" fontId="5" fillId="35" borderId="71" xfId="0" applyFont="1" applyFill="1" applyBorder="1" applyAlignment="1" applyProtection="1">
      <alignment horizontal="center" vertical="center" wrapText="1"/>
      <protection locked="0"/>
    </xf>
    <xf numFmtId="0" fontId="5" fillId="0" borderId="71" xfId="0" applyFont="1" applyFill="1" applyBorder="1" applyAlignment="1" applyProtection="1">
      <alignment horizontal="center" vertical="center" wrapText="1"/>
      <protection locked="0"/>
    </xf>
    <xf numFmtId="0" fontId="5" fillId="0" borderId="70" xfId="0" applyFont="1" applyFill="1" applyBorder="1" applyAlignment="1" applyProtection="1">
      <alignment horizontal="center" vertical="center" wrapText="1"/>
      <protection locked="0"/>
    </xf>
    <xf numFmtId="49" fontId="0" fillId="35" borderId="70" xfId="0" applyNumberFormat="1" applyFont="1" applyFill="1" applyBorder="1" applyAlignment="1" applyProtection="1">
      <alignment horizontal="center" vertical="center" wrapText="1"/>
      <protection locked="0"/>
    </xf>
    <xf numFmtId="0" fontId="5" fillId="35" borderId="70" xfId="0" applyFont="1" applyFill="1" applyBorder="1" applyAlignment="1" applyProtection="1">
      <alignment horizontal="center" vertical="center" wrapText="1"/>
      <protection locked="0"/>
    </xf>
    <xf numFmtId="49" fontId="0" fillId="35" borderId="132" xfId="0" applyNumberFormat="1" applyFont="1" applyFill="1" applyBorder="1" applyAlignment="1" applyProtection="1">
      <alignment horizontal="center" vertical="center" wrapText="1"/>
      <protection locked="0"/>
    </xf>
    <xf numFmtId="49" fontId="0" fillId="0" borderId="90" xfId="0" applyNumberFormat="1" applyFont="1" applyFill="1" applyBorder="1" applyAlignment="1" applyProtection="1">
      <alignment horizontal="center" vertical="center" wrapText="1"/>
      <protection locked="0"/>
    </xf>
    <xf numFmtId="49" fontId="0" fillId="0" borderId="86" xfId="0" applyNumberFormat="1" applyFont="1" applyFill="1" applyBorder="1" applyAlignment="1" applyProtection="1">
      <alignment horizontal="center" vertical="center" wrapText="1"/>
      <protection locked="0"/>
    </xf>
    <xf numFmtId="49" fontId="0" fillId="0" borderId="110" xfId="0" applyNumberFormat="1" applyFont="1" applyFill="1" applyBorder="1" applyAlignment="1" applyProtection="1">
      <alignment horizontal="center" vertical="center" wrapText="1"/>
      <protection locked="0"/>
    </xf>
    <xf numFmtId="0" fontId="0" fillId="0" borderId="90" xfId="0" applyFont="1" applyFill="1" applyBorder="1" applyAlignment="1" applyProtection="1" quotePrefix="1">
      <alignment horizontal="center" vertical="center" wrapText="1"/>
      <protection hidden="1"/>
    </xf>
    <xf numFmtId="0" fontId="5" fillId="0" borderId="70" xfId="0" applyFont="1" applyFill="1" applyBorder="1" applyAlignment="1" applyProtection="1">
      <alignment horizontal="center" vertical="center" wrapText="1"/>
      <protection hidden="1"/>
    </xf>
    <xf numFmtId="0" fontId="5" fillId="0" borderId="71" xfId="0" applyFont="1" applyFill="1" applyBorder="1" applyAlignment="1" applyProtection="1" quotePrefix="1">
      <alignment horizontal="center" vertical="center" wrapText="1"/>
      <protection hidden="1"/>
    </xf>
    <xf numFmtId="0" fontId="5" fillId="0" borderId="71" xfId="0" applyFont="1" applyFill="1" applyBorder="1" applyAlignment="1" applyProtection="1">
      <alignment horizontal="center" vertical="center" wrapText="1"/>
      <protection hidden="1"/>
    </xf>
    <xf numFmtId="0" fontId="5" fillId="0" borderId="86" xfId="0" applyFont="1" applyFill="1" applyBorder="1" applyAlignment="1" applyProtection="1">
      <alignment horizontal="center" vertical="center" wrapText="1"/>
      <protection hidden="1"/>
    </xf>
    <xf numFmtId="0" fontId="5" fillId="0" borderId="86" xfId="0" applyFont="1" applyFill="1" applyBorder="1" applyAlignment="1" applyProtection="1" quotePrefix="1">
      <alignment horizontal="center" vertical="center" wrapText="1"/>
      <protection hidden="1"/>
    </xf>
    <xf numFmtId="0" fontId="5" fillId="0" borderId="70" xfId="0" applyFont="1" applyFill="1" applyBorder="1" applyAlignment="1" applyProtection="1" quotePrefix="1">
      <alignment horizontal="center" vertical="center" wrapText="1"/>
      <protection hidden="1"/>
    </xf>
    <xf numFmtId="0" fontId="5" fillId="0" borderId="90" xfId="0" applyFont="1" applyFill="1" applyBorder="1" applyAlignment="1" applyProtection="1">
      <alignment horizontal="center" vertical="center" wrapText="1"/>
      <protection hidden="1"/>
    </xf>
    <xf numFmtId="0" fontId="5" fillId="0" borderId="98" xfId="0" applyFont="1" applyFill="1" applyBorder="1" applyAlignment="1" applyProtection="1" quotePrefix="1">
      <alignment horizontal="center" vertical="center" wrapText="1"/>
      <protection hidden="1"/>
    </xf>
    <xf numFmtId="0" fontId="5" fillId="0" borderId="90" xfId="0" applyFont="1" applyFill="1" applyBorder="1" applyAlignment="1" applyProtection="1" quotePrefix="1">
      <alignment horizontal="center" vertical="center" wrapText="1"/>
      <protection hidden="1"/>
    </xf>
    <xf numFmtId="0" fontId="5" fillId="0" borderId="110" xfId="0" applyFont="1" applyFill="1" applyBorder="1" applyAlignment="1" applyProtection="1">
      <alignment horizontal="center" vertical="center" wrapText="1"/>
      <protection hidden="1"/>
    </xf>
    <xf numFmtId="0" fontId="5" fillId="0" borderId="98" xfId="0" applyFont="1" applyFill="1" applyBorder="1" applyAlignment="1" applyProtection="1">
      <alignment horizontal="center" vertical="center" wrapText="1"/>
      <protection hidden="1"/>
    </xf>
    <xf numFmtId="0" fontId="5" fillId="35" borderId="70" xfId="0" applyFont="1" applyFill="1" applyBorder="1" applyAlignment="1" applyProtection="1">
      <alignment horizontal="center" vertical="center" wrapText="1"/>
      <protection hidden="1"/>
    </xf>
    <xf numFmtId="43" fontId="129" fillId="4" borderId="12" xfId="45" applyFont="1" applyFill="1" applyBorder="1" applyAlignment="1" applyProtection="1">
      <alignment horizontal="center" vertical="center"/>
      <protection locked="0"/>
    </xf>
    <xf numFmtId="0" fontId="129" fillId="0" borderId="21" xfId="0" applyFont="1" applyFill="1" applyBorder="1" applyAlignment="1">
      <alignment vertical="center"/>
    </xf>
    <xf numFmtId="43" fontId="129" fillId="4" borderId="52" xfId="45" applyFont="1" applyFill="1" applyBorder="1" applyAlignment="1" applyProtection="1">
      <alignment horizontal="center" vertical="center"/>
      <protection locked="0"/>
    </xf>
    <xf numFmtId="0" fontId="128" fillId="0" borderId="0" xfId="0" applyFont="1" applyFill="1" applyAlignment="1">
      <alignment vertical="center"/>
    </xf>
    <xf numFmtId="49" fontId="0" fillId="35" borderId="90" xfId="0" applyNumberFormat="1" applyFont="1" applyFill="1" applyBorder="1" applyAlignment="1" applyProtection="1">
      <alignment horizontal="center" vertical="center" wrapText="1"/>
      <protection locked="0"/>
    </xf>
    <xf numFmtId="49" fontId="0" fillId="35" borderId="86" xfId="0" applyNumberFormat="1" applyFont="1" applyFill="1" applyBorder="1" applyAlignment="1" applyProtection="1">
      <alignment horizontal="center" vertical="center" wrapText="1"/>
      <protection locked="0"/>
    </xf>
    <xf numFmtId="0" fontId="0" fillId="35" borderId="78" xfId="0" applyFont="1" applyFill="1" applyBorder="1" applyAlignment="1" applyProtection="1">
      <alignment horizontal="center" vertical="center" wrapText="1"/>
      <protection hidden="1"/>
    </xf>
    <xf numFmtId="0" fontId="0" fillId="35" borderId="85" xfId="0" applyFont="1" applyFill="1" applyBorder="1" applyAlignment="1" applyProtection="1">
      <alignment horizontal="center" vertical="center" wrapText="1"/>
      <protection hidden="1"/>
    </xf>
    <xf numFmtId="0" fontId="5" fillId="35" borderId="86" xfId="0" applyFont="1" applyFill="1" applyBorder="1" applyAlignment="1" applyProtection="1">
      <alignment horizontal="center" vertical="center" wrapText="1"/>
      <protection locked="0"/>
    </xf>
    <xf numFmtId="0" fontId="5" fillId="0" borderId="86" xfId="0" applyFont="1" applyFill="1" applyBorder="1" applyAlignment="1" applyProtection="1">
      <alignment horizontal="center" vertical="center" wrapText="1"/>
      <protection locked="0"/>
    </xf>
    <xf numFmtId="0" fontId="0" fillId="35" borderId="89" xfId="0" applyFont="1" applyFill="1" applyBorder="1" applyAlignment="1" applyProtection="1">
      <alignment horizontal="center" vertical="center" wrapText="1"/>
      <protection hidden="1"/>
    </xf>
    <xf numFmtId="0" fontId="5" fillId="35" borderId="90" xfId="0" applyFont="1" applyFill="1" applyBorder="1" applyAlignment="1" applyProtection="1">
      <alignment horizontal="center" vertical="center" wrapText="1"/>
      <protection locked="0"/>
    </xf>
    <xf numFmtId="0" fontId="0" fillId="35" borderId="159" xfId="0" applyFont="1" applyFill="1" applyBorder="1" applyAlignment="1" applyProtection="1">
      <alignment horizontal="center" vertical="center" wrapText="1"/>
      <protection hidden="1"/>
    </xf>
    <xf numFmtId="49" fontId="0" fillId="35" borderId="160" xfId="0" applyNumberFormat="1" applyFont="1" applyFill="1" applyBorder="1" applyAlignment="1" applyProtection="1">
      <alignment horizontal="center" vertical="center" wrapText="1"/>
      <protection locked="0"/>
    </xf>
    <xf numFmtId="0" fontId="5" fillId="35" borderId="160" xfId="0" applyFont="1" applyFill="1" applyBorder="1" applyAlignment="1" applyProtection="1">
      <alignment horizontal="center" vertical="center" wrapText="1"/>
      <protection locked="0"/>
    </xf>
    <xf numFmtId="0" fontId="6" fillId="35" borderId="89" xfId="0" applyFont="1" applyFill="1" applyBorder="1" applyAlignment="1" applyProtection="1">
      <alignment horizontal="center" vertical="center" wrapText="1"/>
      <protection hidden="1"/>
    </xf>
    <xf numFmtId="0" fontId="5" fillId="35" borderId="71" xfId="0" applyFont="1" applyFill="1" applyBorder="1" applyAlignment="1" applyProtection="1">
      <alignment horizontal="center" vertical="center" wrapText="1"/>
      <protection hidden="1"/>
    </xf>
    <xf numFmtId="0" fontId="5" fillId="35" borderId="86" xfId="0" applyFont="1" applyFill="1" applyBorder="1" applyAlignment="1" applyProtection="1">
      <alignment horizontal="center" vertical="center" wrapText="1"/>
      <protection hidden="1"/>
    </xf>
    <xf numFmtId="43" fontId="5" fillId="0" borderId="35" xfId="45" applyFont="1" applyFill="1" applyBorder="1" applyAlignment="1" applyProtection="1">
      <alignment vertical="center" wrapText="1"/>
      <protection locked="0"/>
    </xf>
    <xf numFmtId="43" fontId="5" fillId="0" borderId="47" xfId="45" applyFont="1" applyFill="1" applyBorder="1" applyAlignment="1" applyProtection="1">
      <alignment vertical="center" wrapText="1"/>
      <protection locked="0"/>
    </xf>
    <xf numFmtId="0" fontId="5" fillId="35" borderId="70" xfId="0" applyFont="1" applyFill="1" applyBorder="1" applyAlignment="1" applyProtection="1" quotePrefix="1">
      <alignment horizontal="center" vertical="center" wrapText="1"/>
      <protection hidden="1"/>
    </xf>
    <xf numFmtId="0" fontId="5" fillId="35" borderId="71" xfId="0" applyFont="1" applyFill="1" applyBorder="1" applyAlignment="1" applyProtection="1" quotePrefix="1">
      <alignment horizontal="center" vertical="center" wrapText="1"/>
      <protection hidden="1"/>
    </xf>
    <xf numFmtId="0" fontId="5" fillId="35" borderId="90" xfId="0" applyFont="1" applyFill="1" applyBorder="1" applyAlignment="1" applyProtection="1" quotePrefix="1">
      <alignment horizontal="center" vertical="center" wrapText="1"/>
      <protection hidden="1"/>
    </xf>
    <xf numFmtId="0" fontId="0" fillId="35" borderId="71" xfId="0" applyFont="1" applyFill="1" applyBorder="1" applyAlignment="1" applyProtection="1" quotePrefix="1">
      <alignment horizontal="center" vertical="center" wrapText="1"/>
      <protection hidden="1"/>
    </xf>
    <xf numFmtId="0" fontId="0" fillId="35" borderId="90" xfId="0" applyFont="1" applyFill="1" applyBorder="1" applyAlignment="1" applyProtection="1" quotePrefix="1">
      <alignment horizontal="center" vertical="center" wrapText="1"/>
      <protection hidden="1"/>
    </xf>
    <xf numFmtId="0" fontId="5" fillId="35" borderId="90" xfId="0" applyFont="1" applyFill="1" applyBorder="1" applyAlignment="1" applyProtection="1">
      <alignment horizontal="center" vertical="center" wrapText="1"/>
      <protection hidden="1"/>
    </xf>
    <xf numFmtId="0" fontId="0" fillId="35" borderId="98" xfId="0" applyFont="1" applyFill="1" applyBorder="1" applyAlignment="1" applyProtection="1" quotePrefix="1">
      <alignment horizontal="center" vertical="center" wrapText="1"/>
      <protection hidden="1"/>
    </xf>
    <xf numFmtId="0" fontId="5" fillId="35" borderId="98" xfId="0" applyFont="1" applyFill="1" applyBorder="1" applyAlignment="1" applyProtection="1" quotePrefix="1">
      <alignment horizontal="center" vertical="center" wrapText="1"/>
      <protection hidden="1"/>
    </xf>
    <xf numFmtId="0" fontId="0" fillId="0" borderId="78"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locked="0"/>
    </xf>
    <xf numFmtId="0" fontId="0" fillId="0" borderId="85" xfId="0" applyFont="1" applyFill="1" applyBorder="1" applyAlignment="1" applyProtection="1">
      <alignment horizontal="center" vertical="center" wrapText="1"/>
      <protection hidden="1"/>
    </xf>
    <xf numFmtId="0" fontId="0" fillId="0" borderId="86" xfId="0" applyFont="1" applyFill="1" applyBorder="1" applyAlignment="1" applyProtection="1">
      <alignment vertical="center" wrapText="1"/>
      <protection locked="0"/>
    </xf>
    <xf numFmtId="165" fontId="0" fillId="0" borderId="0" xfId="0" applyNumberFormat="1" applyFill="1" applyAlignment="1">
      <alignment vertical="center"/>
    </xf>
    <xf numFmtId="43" fontId="0" fillId="37" borderId="97" xfId="45" applyFont="1" applyFill="1" applyBorder="1" applyAlignment="1" applyProtection="1">
      <alignment vertical="center" wrapText="1"/>
      <protection hidden="1"/>
    </xf>
    <xf numFmtId="43" fontId="39" fillId="4" borderId="28" xfId="0" applyNumberFormat="1" applyFont="1" applyFill="1" applyBorder="1" applyAlignment="1" applyProtection="1">
      <alignment horizontal="center" vertical="center"/>
      <protection locked="0"/>
    </xf>
    <xf numFmtId="43" fontId="0" fillId="6" borderId="87" xfId="45" applyFont="1" applyFill="1" applyBorder="1" applyAlignment="1" applyProtection="1">
      <alignment vertical="center" wrapText="1"/>
      <protection locked="0"/>
    </xf>
    <xf numFmtId="43" fontId="0" fillId="6" borderId="71" xfId="45" applyFont="1" applyFill="1" applyBorder="1" applyAlignment="1" applyProtection="1">
      <alignment vertical="center" wrapText="1"/>
      <protection locked="0"/>
    </xf>
    <xf numFmtId="43" fontId="0" fillId="6" borderId="70" xfId="45" applyFont="1" applyFill="1" applyBorder="1" applyAlignment="1" applyProtection="1">
      <alignment vertical="center" wrapText="1"/>
      <protection locked="0"/>
    </xf>
    <xf numFmtId="43" fontId="0" fillId="6" borderId="87" xfId="45" applyFont="1" applyFill="1" applyBorder="1" applyAlignment="1" applyProtection="1">
      <alignment vertical="center" wrapText="1"/>
      <protection locked="0"/>
    </xf>
    <xf numFmtId="43" fontId="0" fillId="6" borderId="70" xfId="45" applyFont="1" applyFill="1" applyBorder="1" applyAlignment="1" applyProtection="1">
      <alignment vertical="center" wrapText="1"/>
      <protection locked="0"/>
    </xf>
    <xf numFmtId="43" fontId="0" fillId="35" borderId="128" xfId="45" applyFont="1" applyFill="1" applyBorder="1" applyAlignment="1" applyProtection="1">
      <alignment vertical="center" wrapText="1"/>
      <protection hidden="1"/>
    </xf>
    <xf numFmtId="43" fontId="0" fillId="39" borderId="86" xfId="45" applyFont="1" applyFill="1" applyBorder="1" applyAlignment="1" applyProtection="1">
      <alignment vertical="center" wrapText="1"/>
      <protection locked="0"/>
    </xf>
    <xf numFmtId="43" fontId="0" fillId="39" borderId="71" xfId="45" applyFont="1" applyFill="1" applyBorder="1" applyAlignment="1" applyProtection="1">
      <alignment vertical="center" wrapText="1"/>
      <protection locked="0"/>
    </xf>
    <xf numFmtId="43" fontId="0" fillId="39" borderId="86" xfId="45" applyFont="1" applyFill="1" applyBorder="1" applyAlignment="1" applyProtection="1">
      <alignment vertical="center" wrapText="1"/>
      <protection locked="0"/>
    </xf>
    <xf numFmtId="43" fontId="0" fillId="40" borderId="86" xfId="45" applyFont="1" applyFill="1" applyBorder="1" applyAlignment="1" applyProtection="1">
      <alignment vertical="center" wrapText="1"/>
      <protection locked="0"/>
    </xf>
    <xf numFmtId="43" fontId="0" fillId="40" borderId="71" xfId="45" applyFont="1" applyFill="1" applyBorder="1" applyAlignment="1" applyProtection="1">
      <alignment vertical="center" wrapText="1"/>
      <protection locked="0"/>
    </xf>
    <xf numFmtId="43" fontId="0" fillId="36" borderId="70" xfId="45" applyFont="1" applyFill="1" applyBorder="1" applyAlignment="1" applyProtection="1">
      <alignment vertical="center" wrapText="1"/>
      <protection hidden="1"/>
    </xf>
    <xf numFmtId="43" fontId="0" fillId="36" borderId="71" xfId="45" applyFont="1" applyFill="1" applyBorder="1" applyAlignment="1" applyProtection="1">
      <alignment vertical="center" wrapText="1"/>
      <protection hidden="1"/>
    </xf>
    <xf numFmtId="43" fontId="0" fillId="36" borderId="86" xfId="45" applyFont="1" applyFill="1" applyBorder="1" applyAlignment="1" applyProtection="1">
      <alignment vertical="center" wrapText="1"/>
      <protection hidden="1"/>
    </xf>
    <xf numFmtId="43" fontId="0" fillId="36" borderId="71" xfId="45" applyFont="1" applyFill="1" applyBorder="1" applyAlignment="1" applyProtection="1">
      <alignment vertical="center" wrapText="1"/>
      <protection hidden="1"/>
    </xf>
    <xf numFmtId="43" fontId="0" fillId="36" borderId="71" xfId="45" applyFont="1" applyFill="1" applyBorder="1" applyAlignment="1" applyProtection="1">
      <alignment vertical="center" wrapText="1"/>
      <protection hidden="1"/>
    </xf>
    <xf numFmtId="43" fontId="0" fillId="36" borderId="86" xfId="45" applyFont="1" applyFill="1" applyBorder="1" applyAlignment="1" applyProtection="1">
      <alignment vertical="center" wrapText="1"/>
      <protection hidden="1"/>
    </xf>
    <xf numFmtId="43" fontId="0" fillId="36" borderId="70" xfId="45" applyFont="1" applyFill="1" applyBorder="1" applyAlignment="1" applyProtection="1">
      <alignment vertical="center" wrapText="1"/>
      <protection hidden="1"/>
    </xf>
    <xf numFmtId="43" fontId="0" fillId="36" borderId="90" xfId="45" applyFont="1" applyFill="1" applyBorder="1" applyAlignment="1" applyProtection="1">
      <alignment vertical="center" wrapText="1"/>
      <protection hidden="1"/>
    </xf>
    <xf numFmtId="0" fontId="5" fillId="35" borderId="110" xfId="0" applyFont="1" applyFill="1" applyBorder="1" applyAlignment="1" applyProtection="1">
      <alignment horizontal="center" vertical="center" wrapText="1"/>
      <protection hidden="1"/>
    </xf>
    <xf numFmtId="43" fontId="0" fillId="36" borderId="86" xfId="0" applyNumberFormat="1" applyFont="1" applyFill="1" applyBorder="1" applyAlignment="1" applyProtection="1">
      <alignment vertical="center" wrapText="1"/>
      <protection hidden="1"/>
    </xf>
    <xf numFmtId="43" fontId="0" fillId="13" borderId="70" xfId="45" applyFont="1" applyFill="1" applyBorder="1" applyAlignment="1" applyProtection="1">
      <alignment vertical="center" wrapText="1"/>
      <protection locked="0"/>
    </xf>
    <xf numFmtId="43" fontId="0" fillId="13" borderId="71" xfId="45" applyFont="1" applyFill="1" applyBorder="1" applyAlignment="1" applyProtection="1">
      <alignment vertical="center" wrapText="1"/>
      <protection locked="0"/>
    </xf>
    <xf numFmtId="43" fontId="0" fillId="13" borderId="87" xfId="45" applyFont="1" applyFill="1" applyBorder="1" applyAlignment="1" applyProtection="1">
      <alignment vertical="center" wrapText="1"/>
      <protection locked="0"/>
    </xf>
    <xf numFmtId="0" fontId="0" fillId="35" borderId="21" xfId="0" applyFont="1" applyFill="1" applyBorder="1" applyAlignment="1" applyProtection="1">
      <alignment horizontal="center" vertical="center" wrapText="1"/>
      <protection hidden="1"/>
    </xf>
    <xf numFmtId="0" fontId="0" fillId="35" borderId="109" xfId="0" applyFont="1" applyFill="1" applyBorder="1" applyAlignment="1" applyProtection="1">
      <alignment horizontal="center" vertical="center" wrapText="1"/>
      <protection hidden="1"/>
    </xf>
    <xf numFmtId="49" fontId="0" fillId="35" borderId="110" xfId="0" applyNumberFormat="1" applyFont="1" applyFill="1" applyBorder="1" applyAlignment="1" applyProtection="1">
      <alignment horizontal="center" vertical="center" wrapText="1"/>
      <protection locked="0"/>
    </xf>
    <xf numFmtId="0" fontId="5" fillId="35" borderId="110" xfId="0" applyFont="1" applyFill="1" applyBorder="1" applyAlignment="1" applyProtection="1">
      <alignment horizontal="center" vertical="center" wrapText="1"/>
      <protection locked="0"/>
    </xf>
    <xf numFmtId="0" fontId="0" fillId="35" borderId="110" xfId="0" applyFont="1" applyFill="1" applyBorder="1" applyAlignment="1" applyProtection="1">
      <alignment horizontal="center" vertical="center" wrapText="1"/>
      <protection locked="0"/>
    </xf>
    <xf numFmtId="0" fontId="0" fillId="35" borderId="110" xfId="0" applyFont="1" applyFill="1" applyBorder="1" applyAlignment="1" applyProtection="1">
      <alignment vertical="center" wrapText="1"/>
      <protection locked="0"/>
    </xf>
    <xf numFmtId="43" fontId="0" fillId="35" borderId="111" xfId="45" applyFont="1" applyFill="1" applyBorder="1" applyAlignment="1" applyProtection="1">
      <alignment vertical="center" wrapText="1"/>
      <protection locked="0"/>
    </xf>
    <xf numFmtId="43" fontId="0" fillId="35" borderId="110" xfId="45" applyFont="1" applyFill="1" applyBorder="1" applyAlignment="1" applyProtection="1">
      <alignment vertical="center" wrapText="1"/>
      <protection locked="0"/>
    </xf>
    <xf numFmtId="0" fontId="5" fillId="35" borderId="132" xfId="0" applyFont="1" applyFill="1" applyBorder="1" applyAlignment="1" applyProtection="1">
      <alignment horizontal="center" vertical="center" wrapText="1"/>
      <protection locked="0"/>
    </xf>
    <xf numFmtId="0" fontId="0" fillId="35" borderId="132" xfId="0" applyFont="1" applyFill="1" applyBorder="1" applyAlignment="1" applyProtection="1">
      <alignment horizontal="center" vertical="center" wrapText="1"/>
      <protection locked="0"/>
    </xf>
    <xf numFmtId="43" fontId="0" fillId="35" borderId="132" xfId="45" applyFont="1" applyFill="1" applyBorder="1" applyAlignment="1" applyProtection="1">
      <alignment vertical="center" wrapText="1"/>
      <protection locked="0"/>
    </xf>
    <xf numFmtId="43" fontId="0" fillId="0" borderId="132" xfId="45" applyFont="1" applyFill="1" applyBorder="1" applyAlignment="1" applyProtection="1">
      <alignment vertical="center" wrapText="1"/>
      <protection locked="0"/>
    </xf>
    <xf numFmtId="43" fontId="0" fillId="13" borderId="132" xfId="45" applyFont="1" applyFill="1" applyBorder="1" applyAlignment="1" applyProtection="1">
      <alignment vertical="center" wrapText="1"/>
      <protection locked="0"/>
    </xf>
    <xf numFmtId="43" fontId="0" fillId="13" borderId="87" xfId="45" applyFont="1" applyFill="1" applyBorder="1" applyAlignment="1" applyProtection="1">
      <alignment vertical="center" wrapText="1"/>
      <protection locked="0"/>
    </xf>
    <xf numFmtId="43" fontId="0" fillId="13" borderId="70" xfId="45" applyFont="1" applyFill="1" applyBorder="1" applyAlignment="1" applyProtection="1">
      <alignment vertical="center" wrapText="1"/>
      <protection hidden="1"/>
    </xf>
    <xf numFmtId="43" fontId="0" fillId="13" borderId="71" xfId="45" applyFont="1" applyFill="1" applyBorder="1" applyAlignment="1" applyProtection="1">
      <alignment vertical="center" wrapText="1"/>
      <protection hidden="1"/>
    </xf>
    <xf numFmtId="43" fontId="0" fillId="13" borderId="90" xfId="45" applyFont="1" applyFill="1" applyBorder="1" applyAlignment="1" applyProtection="1">
      <alignment vertical="center" wrapText="1"/>
      <protection hidden="1"/>
    </xf>
    <xf numFmtId="0" fontId="0" fillId="35" borderId="86" xfId="0" applyFont="1" applyFill="1" applyBorder="1" applyAlignment="1" applyProtection="1">
      <alignment horizontal="left" vertical="center" wrapText="1"/>
      <protection hidden="1"/>
    </xf>
    <xf numFmtId="0" fontId="0" fillId="35" borderId="161" xfId="0" applyFont="1" applyFill="1" applyBorder="1" applyAlignment="1" applyProtection="1">
      <alignment horizontal="center" vertical="center" wrapText="1"/>
      <protection hidden="1"/>
    </xf>
    <xf numFmtId="43" fontId="0" fillId="13" borderId="110" xfId="45" applyFont="1" applyFill="1" applyBorder="1" applyAlignment="1" applyProtection="1">
      <alignment vertical="center" wrapText="1"/>
      <protection hidden="1"/>
    </xf>
    <xf numFmtId="43" fontId="0" fillId="13" borderId="71" xfId="45" applyFont="1" applyFill="1" applyBorder="1" applyAlignment="1" applyProtection="1">
      <alignment vertical="center" wrapText="1"/>
      <protection hidden="1"/>
    </xf>
    <xf numFmtId="43" fontId="0" fillId="13" borderId="86" xfId="45" applyFont="1" applyFill="1" applyBorder="1" applyAlignment="1" applyProtection="1">
      <alignment vertical="center" wrapText="1"/>
      <protection hidden="1"/>
    </xf>
    <xf numFmtId="43" fontId="0" fillId="13" borderId="86" xfId="0" applyNumberFormat="1" applyFont="1" applyFill="1" applyBorder="1" applyAlignment="1" applyProtection="1">
      <alignment vertical="center" wrapText="1"/>
      <protection hidden="1"/>
    </xf>
    <xf numFmtId="43" fontId="0" fillId="41" borderId="70" xfId="45" applyFont="1" applyFill="1" applyBorder="1" applyAlignment="1" applyProtection="1">
      <alignment vertical="center" wrapText="1"/>
      <protection locked="0"/>
    </xf>
    <xf numFmtId="43" fontId="128" fillId="0" borderId="71" xfId="45" applyFont="1" applyFill="1" applyBorder="1" applyAlignment="1" applyProtection="1">
      <alignment vertical="center" wrapText="1"/>
      <protection locked="0"/>
    </xf>
    <xf numFmtId="43" fontId="0" fillId="42" borderId="86" xfId="45" applyFont="1" applyFill="1" applyBorder="1" applyAlignment="1" applyProtection="1">
      <alignment vertical="center" wrapText="1"/>
      <protection locked="0"/>
    </xf>
    <xf numFmtId="43" fontId="0" fillId="42" borderId="87" xfId="45" applyFont="1" applyFill="1" applyBorder="1" applyAlignment="1" applyProtection="1">
      <alignment vertical="center" wrapText="1"/>
      <protection locked="0"/>
    </xf>
    <xf numFmtId="43" fontId="0" fillId="42" borderId="80" xfId="45" applyFont="1" applyFill="1" applyBorder="1" applyAlignment="1" applyProtection="1">
      <alignment vertical="center" wrapText="1"/>
      <protection locked="0"/>
    </xf>
    <xf numFmtId="43" fontId="0" fillId="42" borderId="83" xfId="45" applyFont="1" applyFill="1" applyBorder="1" applyAlignment="1" applyProtection="1">
      <alignment vertical="center" wrapText="1"/>
      <protection locked="0"/>
    </xf>
    <xf numFmtId="43" fontId="0" fillId="40" borderId="70" xfId="45" applyFont="1" applyFill="1" applyBorder="1" applyAlignment="1" applyProtection="1">
      <alignment vertical="center" wrapText="1"/>
      <protection locked="0"/>
    </xf>
    <xf numFmtId="43" fontId="0" fillId="41" borderId="70" xfId="45" applyFont="1" applyFill="1" applyBorder="1" applyAlignment="1" applyProtection="1">
      <alignment vertical="center" wrapText="1"/>
      <protection locked="0"/>
    </xf>
    <xf numFmtId="43" fontId="129" fillId="4" borderId="31" xfId="45" applyFont="1" applyFill="1" applyBorder="1" applyAlignment="1" applyProtection="1">
      <alignment horizontal="center" vertical="center"/>
      <protection locked="0"/>
    </xf>
    <xf numFmtId="43" fontId="129" fillId="4" borderId="19" xfId="45" applyFont="1" applyFill="1" applyBorder="1" applyAlignment="1" applyProtection="1">
      <alignment horizontal="center" vertical="center"/>
      <protection locked="0"/>
    </xf>
    <xf numFmtId="43" fontId="26" fillId="0" borderId="97" xfId="45" applyFont="1" applyFill="1" applyBorder="1" applyAlignment="1" applyProtection="1">
      <alignment horizontal="center" vertical="center" wrapText="1"/>
      <protection hidden="1"/>
    </xf>
    <xf numFmtId="0" fontId="0" fillId="9" borderId="13" xfId="0" applyFont="1" applyFill="1" applyBorder="1" applyAlignment="1" applyProtection="1">
      <alignment horizontal="center" vertical="center" wrapText="1"/>
      <protection hidden="1"/>
    </xf>
    <xf numFmtId="43" fontId="4" fillId="0" borderId="66" xfId="45" applyFont="1" applyFill="1" applyBorder="1" applyAlignment="1" applyProtection="1">
      <alignment vertical="center" wrapText="1"/>
      <protection hidden="1"/>
    </xf>
    <xf numFmtId="43" fontId="0" fillId="43" borderId="110" xfId="45" applyFont="1" applyFill="1" applyBorder="1" applyAlignment="1" applyProtection="1">
      <alignment vertical="center" wrapText="1"/>
      <protection hidden="1"/>
    </xf>
    <xf numFmtId="43" fontId="0" fillId="43" borderId="86" xfId="45" applyFont="1" applyFill="1" applyBorder="1" applyAlignment="1" applyProtection="1">
      <alignment vertical="center" wrapText="1"/>
      <protection hidden="1"/>
    </xf>
    <xf numFmtId="43" fontId="0" fillId="43" borderId="86" xfId="45" applyFont="1" applyFill="1" applyBorder="1" applyAlignment="1" applyProtection="1">
      <alignment vertical="center" wrapText="1"/>
      <protection hidden="1"/>
    </xf>
    <xf numFmtId="43" fontId="0" fillId="43" borderId="27" xfId="45" applyFont="1" applyFill="1" applyBorder="1" applyAlignment="1" applyProtection="1">
      <alignment vertical="center" wrapText="1"/>
      <protection hidden="1"/>
    </xf>
    <xf numFmtId="43" fontId="0" fillId="43" borderId="0" xfId="45" applyFont="1" applyFill="1" applyBorder="1" applyAlignment="1" applyProtection="1">
      <alignment vertical="center" wrapText="1"/>
      <protection hidden="1"/>
    </xf>
    <xf numFmtId="43" fontId="0" fillId="43" borderId="90" xfId="45" applyFont="1" applyFill="1" applyBorder="1" applyAlignment="1" applyProtection="1">
      <alignment vertical="center" wrapText="1"/>
      <protection hidden="1"/>
    </xf>
    <xf numFmtId="43" fontId="4" fillId="43" borderId="28" xfId="45" applyFont="1" applyFill="1" applyBorder="1" applyAlignment="1" applyProtection="1">
      <alignment vertical="center" wrapText="1"/>
      <protection hidden="1"/>
    </xf>
    <xf numFmtId="43" fontId="0" fillId="43" borderId="162" xfId="45" applyFont="1" applyFill="1" applyBorder="1" applyAlignment="1" applyProtection="1">
      <alignment vertical="center" wrapText="1"/>
      <protection hidden="1"/>
    </xf>
    <xf numFmtId="43" fontId="0" fillId="43" borderId="163" xfId="45" applyFont="1" applyFill="1" applyBorder="1" applyAlignment="1" applyProtection="1">
      <alignment vertical="center" wrapText="1"/>
      <protection hidden="1"/>
    </xf>
    <xf numFmtId="43" fontId="0" fillId="43" borderId="164" xfId="45" applyFont="1" applyFill="1" applyBorder="1" applyAlignment="1" applyProtection="1">
      <alignment vertical="center" wrapText="1"/>
      <protection hidden="1"/>
    </xf>
    <xf numFmtId="43" fontId="4" fillId="43" borderId="49" xfId="45" applyFont="1" applyFill="1" applyBorder="1" applyAlignment="1" applyProtection="1">
      <alignment vertical="center" wrapText="1"/>
      <protection hidden="1"/>
    </xf>
    <xf numFmtId="43" fontId="4" fillId="43" borderId="46" xfId="0" applyNumberFormat="1" applyFont="1" applyFill="1" applyBorder="1" applyAlignment="1" applyProtection="1">
      <alignment vertical="center" wrapText="1"/>
      <protection hidden="1"/>
    </xf>
    <xf numFmtId="43" fontId="0" fillId="43" borderId="98" xfId="45" applyFont="1" applyFill="1" applyBorder="1" applyAlignment="1" applyProtection="1">
      <alignment vertical="center" wrapText="1"/>
      <protection hidden="1"/>
    </xf>
    <xf numFmtId="43" fontId="0" fillId="43" borderId="70" xfId="45" applyFont="1" applyFill="1" applyBorder="1" applyAlignment="1" applyProtection="1">
      <alignment vertical="center" wrapText="1"/>
      <protection hidden="1"/>
    </xf>
    <xf numFmtId="43" fontId="0" fillId="43" borderId="90" xfId="45" applyFont="1" applyFill="1" applyBorder="1" applyAlignment="1" applyProtection="1">
      <alignment vertical="center" wrapText="1"/>
      <protection hidden="1"/>
    </xf>
    <xf numFmtId="43" fontId="130" fillId="0" borderId="96" xfId="45" applyFont="1" applyFill="1" applyBorder="1" applyAlignment="1" applyProtection="1">
      <alignment vertical="center" wrapText="1"/>
      <protection hidden="1"/>
    </xf>
    <xf numFmtId="0" fontId="0" fillId="44" borderId="13" xfId="0" applyFont="1" applyFill="1" applyBorder="1" applyAlignment="1" applyProtection="1">
      <alignment horizontal="center" vertical="center" wrapText="1"/>
      <protection hidden="1"/>
    </xf>
    <xf numFmtId="0" fontId="0" fillId="44" borderId="13" xfId="0" applyFont="1" applyFill="1" applyBorder="1" applyAlignment="1" applyProtection="1">
      <alignment horizontal="center" vertical="center" wrapText="1"/>
      <protection hidden="1"/>
    </xf>
    <xf numFmtId="0" fontId="0" fillId="45" borderId="13" xfId="0" applyFont="1" applyFill="1" applyBorder="1" applyAlignment="1" applyProtection="1">
      <alignment horizontal="center" vertical="center" wrapText="1"/>
      <protection hidden="1"/>
    </xf>
    <xf numFmtId="0" fontId="0" fillId="46" borderId="13" xfId="0" applyFont="1" applyFill="1" applyBorder="1" applyAlignment="1" applyProtection="1">
      <alignment horizontal="center" vertical="center" wrapText="1"/>
      <protection hidden="1"/>
    </xf>
    <xf numFmtId="0" fontId="0" fillId="46" borderId="13" xfId="0" applyFont="1" applyFill="1" applyBorder="1" applyAlignment="1" applyProtection="1">
      <alignment horizontal="center" vertical="center" wrapText="1"/>
      <protection hidden="1"/>
    </xf>
    <xf numFmtId="0" fontId="0" fillId="46" borderId="84" xfId="0" applyFont="1" applyFill="1" applyBorder="1" applyAlignment="1" applyProtection="1">
      <alignment horizontal="center" vertical="center" wrapText="1"/>
      <protection hidden="1"/>
    </xf>
    <xf numFmtId="43" fontId="26" fillId="12" borderId="70" xfId="45" applyFont="1" applyFill="1" applyBorder="1" applyAlignment="1" applyProtection="1">
      <alignment horizontal="center" vertical="center" wrapText="1"/>
      <protection hidden="1"/>
    </xf>
    <xf numFmtId="43" fontId="0" fillId="12" borderId="113" xfId="45" applyFont="1" applyFill="1" applyBorder="1" applyAlignment="1" applyProtection="1">
      <alignment vertical="center" wrapText="1"/>
      <protection hidden="1"/>
    </xf>
    <xf numFmtId="0" fontId="0" fillId="36" borderId="13" xfId="0" applyFont="1" applyFill="1" applyBorder="1" applyAlignment="1" applyProtection="1">
      <alignment horizontal="center" vertical="center" wrapText="1"/>
      <protection hidden="1"/>
    </xf>
    <xf numFmtId="0" fontId="4" fillId="35" borderId="47" xfId="0" applyFont="1" applyFill="1" applyBorder="1" applyAlignment="1" applyProtection="1">
      <alignment horizontal="left" vertical="center" wrapText="1"/>
      <protection hidden="1"/>
    </xf>
    <xf numFmtId="0" fontId="4" fillId="35" borderId="96" xfId="0" applyFont="1" applyFill="1" applyBorder="1" applyAlignment="1" applyProtection="1">
      <alignment horizontal="left" vertical="center" wrapText="1"/>
      <protection hidden="1"/>
    </xf>
    <xf numFmtId="0" fontId="4" fillId="35" borderId="152" xfId="0" applyFont="1" applyFill="1" applyBorder="1" applyAlignment="1" applyProtection="1">
      <alignment horizontal="left" vertical="center" wrapText="1"/>
      <protection hidden="1"/>
    </xf>
    <xf numFmtId="0" fontId="4" fillId="0" borderId="47" xfId="0" applyFont="1" applyFill="1" applyBorder="1" applyAlignment="1" applyProtection="1">
      <alignment horizontal="left" vertical="center" wrapText="1"/>
      <protection locked="0"/>
    </xf>
    <xf numFmtId="0" fontId="4" fillId="0" borderId="96" xfId="0" applyFont="1" applyFill="1" applyBorder="1" applyAlignment="1" applyProtection="1">
      <alignment horizontal="left" vertical="center" wrapText="1"/>
      <protection locked="0"/>
    </xf>
    <xf numFmtId="0" fontId="4" fillId="0" borderId="152" xfId="0" applyFont="1" applyFill="1" applyBorder="1" applyAlignment="1" applyProtection="1">
      <alignment horizontal="left" vertical="center" wrapText="1"/>
      <protection locked="0"/>
    </xf>
    <xf numFmtId="0" fontId="4" fillId="0" borderId="47" xfId="0" applyFont="1" applyFill="1" applyBorder="1" applyAlignment="1" applyProtection="1">
      <alignment horizontal="left" vertical="center" wrapText="1"/>
      <protection hidden="1"/>
    </xf>
    <xf numFmtId="0" fontId="4" fillId="0" borderId="96" xfId="0" applyFont="1" applyFill="1" applyBorder="1" applyAlignment="1" applyProtection="1">
      <alignment horizontal="left" vertical="center" wrapText="1"/>
      <protection hidden="1"/>
    </xf>
    <xf numFmtId="0" fontId="4" fillId="0" borderId="152" xfId="0" applyFont="1" applyFill="1" applyBorder="1" applyAlignment="1" applyProtection="1">
      <alignment horizontal="left" vertical="center" wrapText="1"/>
      <protection hidden="1"/>
    </xf>
    <xf numFmtId="0" fontId="3" fillId="35" borderId="47" xfId="0" applyFont="1" applyFill="1" applyBorder="1" applyAlignment="1" applyProtection="1">
      <alignment horizontal="center" vertical="center" wrapText="1"/>
      <protection hidden="1"/>
    </xf>
    <xf numFmtId="0" fontId="3" fillId="35" borderId="96" xfId="0" applyFont="1" applyFill="1" applyBorder="1" applyAlignment="1" applyProtection="1">
      <alignment horizontal="center" vertical="center" wrapText="1"/>
      <protection hidden="1"/>
    </xf>
    <xf numFmtId="0" fontId="3" fillId="37" borderId="38" xfId="0" applyFont="1" applyFill="1" applyBorder="1" applyAlignment="1" applyProtection="1">
      <alignment horizontal="center" vertical="center" wrapText="1"/>
      <protection hidden="1"/>
    </xf>
    <xf numFmtId="0" fontId="3" fillId="37" borderId="84" xfId="0" applyFont="1" applyFill="1" applyBorder="1" applyAlignment="1" applyProtection="1">
      <alignment horizontal="center" vertical="center" wrapText="1"/>
      <protection hidden="1"/>
    </xf>
    <xf numFmtId="0" fontId="13" fillId="35" borderId="0" xfId="0" applyFont="1" applyFill="1" applyBorder="1" applyAlignment="1" applyProtection="1">
      <alignment horizontal="center" vertical="center" wrapText="1"/>
      <protection locked="0"/>
    </xf>
    <xf numFmtId="0" fontId="7" fillId="35" borderId="0" xfId="0" applyFont="1" applyFill="1" applyBorder="1" applyAlignment="1" applyProtection="1">
      <alignment horizontal="center" vertical="center" wrapText="1"/>
      <protection hidden="1"/>
    </xf>
    <xf numFmtId="0" fontId="7" fillId="35" borderId="76" xfId="0" applyFont="1" applyFill="1" applyBorder="1" applyAlignment="1" applyProtection="1">
      <alignment horizontal="center" vertical="center" wrapText="1"/>
      <protection hidden="1"/>
    </xf>
    <xf numFmtId="0" fontId="5" fillId="35" borderId="141" xfId="0" applyFont="1" applyFill="1" applyBorder="1" applyAlignment="1" applyProtection="1">
      <alignment horizontal="center" vertical="center" wrapText="1"/>
      <protection hidden="1"/>
    </xf>
    <xf numFmtId="0" fontId="5" fillId="35" borderId="94" xfId="0" applyFont="1" applyFill="1" applyBorder="1" applyAlignment="1" applyProtection="1">
      <alignment horizontal="center" vertical="center" wrapText="1"/>
      <protection hidden="1"/>
    </xf>
    <xf numFmtId="0" fontId="4" fillId="37" borderId="38" xfId="0" applyFont="1" applyFill="1" applyBorder="1" applyAlignment="1" applyProtection="1">
      <alignment horizontal="center" vertical="center" wrapText="1"/>
      <protection hidden="1"/>
    </xf>
    <xf numFmtId="0" fontId="4" fillId="37" borderId="84" xfId="0" applyFont="1" applyFill="1" applyBorder="1" applyAlignment="1" applyProtection="1">
      <alignment horizontal="center" vertical="center" wrapText="1"/>
      <protection hidden="1"/>
    </xf>
    <xf numFmtId="0" fontId="3" fillId="37" borderId="46" xfId="0" applyFont="1" applyFill="1" applyBorder="1" applyAlignment="1" applyProtection="1">
      <alignment horizontal="center" vertical="center" wrapText="1"/>
      <protection hidden="1"/>
    </xf>
    <xf numFmtId="0" fontId="3" fillId="37" borderId="47" xfId="0" applyFont="1" applyFill="1" applyBorder="1" applyAlignment="1" applyProtection="1">
      <alignment horizontal="center" vertical="center" wrapText="1"/>
      <protection hidden="1"/>
    </xf>
    <xf numFmtId="0" fontId="3" fillId="35" borderId="47" xfId="0" applyFont="1" applyFill="1" applyBorder="1" applyAlignment="1" applyProtection="1">
      <alignment horizontal="left" vertical="center" wrapText="1"/>
      <protection hidden="1"/>
    </xf>
    <xf numFmtId="0" fontId="3" fillId="35" borderId="96" xfId="0" applyFont="1" applyFill="1" applyBorder="1" applyAlignment="1" applyProtection="1">
      <alignment horizontal="left" vertical="center" wrapText="1"/>
      <protection hidden="1"/>
    </xf>
    <xf numFmtId="0" fontId="3" fillId="35" borderId="64" xfId="0" applyFont="1" applyFill="1" applyBorder="1" applyAlignment="1" applyProtection="1">
      <alignment horizontal="left" vertical="center" wrapText="1"/>
      <protection hidden="1"/>
    </xf>
    <xf numFmtId="0" fontId="4" fillId="0" borderId="64" xfId="0" applyFont="1" applyFill="1" applyBorder="1" applyAlignment="1" applyProtection="1">
      <alignment horizontal="left" vertical="center" wrapText="1"/>
      <protection locked="0"/>
    </xf>
    <xf numFmtId="0" fontId="4" fillId="35" borderId="47" xfId="0" applyFont="1" applyFill="1" applyBorder="1" applyAlignment="1" applyProtection="1">
      <alignment horizontal="center" vertical="center" wrapText="1"/>
      <protection hidden="1"/>
    </xf>
    <xf numFmtId="0" fontId="4" fillId="35" borderId="96" xfId="0" applyFont="1" applyFill="1" applyBorder="1" applyAlignment="1" applyProtection="1">
      <alignment horizontal="center" vertical="center" wrapText="1"/>
      <protection hidden="1"/>
    </xf>
    <xf numFmtId="0" fontId="4" fillId="35" borderId="64" xfId="0" applyFont="1" applyFill="1" applyBorder="1" applyAlignment="1" applyProtection="1">
      <alignment horizontal="center" vertical="center" wrapText="1"/>
      <protection hidden="1"/>
    </xf>
    <xf numFmtId="0" fontId="4" fillId="0" borderId="47" xfId="0" applyFont="1" applyFill="1" applyBorder="1" applyAlignment="1" applyProtection="1">
      <alignment horizontal="center" vertical="center" wrapText="1"/>
      <protection hidden="1"/>
    </xf>
    <xf numFmtId="0" fontId="4" fillId="0" borderId="96" xfId="0" applyFont="1" applyFill="1" applyBorder="1" applyAlignment="1" applyProtection="1">
      <alignment horizontal="center" vertical="center" wrapText="1"/>
      <protection hidden="1"/>
    </xf>
    <xf numFmtId="0" fontId="4" fillId="0" borderId="64" xfId="0" applyFont="1" applyFill="1" applyBorder="1" applyAlignment="1" applyProtection="1">
      <alignment horizontal="center" vertical="center" wrapText="1"/>
      <protection hidden="1"/>
    </xf>
    <xf numFmtId="0" fontId="1" fillId="35" borderId="47" xfId="0" applyFont="1" applyFill="1" applyBorder="1" applyAlignment="1" applyProtection="1">
      <alignment horizontal="center" vertical="center" wrapText="1"/>
      <protection hidden="1"/>
    </xf>
    <xf numFmtId="0" fontId="1" fillId="35" borderId="96" xfId="0" applyFont="1" applyFill="1" applyBorder="1" applyAlignment="1" applyProtection="1">
      <alignment horizontal="center" vertical="center" wrapText="1"/>
      <protection hidden="1"/>
    </xf>
    <xf numFmtId="0" fontId="1" fillId="37" borderId="38" xfId="0" applyFont="1" applyFill="1" applyBorder="1" applyAlignment="1" applyProtection="1">
      <alignment horizontal="center" vertical="center" wrapText="1"/>
      <protection hidden="1"/>
    </xf>
    <xf numFmtId="0" fontId="1" fillId="37" borderId="84" xfId="0" applyFont="1" applyFill="1" applyBorder="1" applyAlignment="1" applyProtection="1">
      <alignment horizontal="center" vertical="center" wrapText="1"/>
      <protection hidden="1"/>
    </xf>
    <xf numFmtId="43" fontId="4" fillId="35" borderId="47" xfId="45" applyFont="1" applyFill="1" applyBorder="1" applyAlignment="1" applyProtection="1">
      <alignment horizontal="center" vertical="center" wrapText="1"/>
      <protection hidden="1"/>
    </xf>
    <xf numFmtId="43" fontId="4" fillId="35" borderId="96" xfId="45" applyFont="1" applyFill="1" applyBorder="1" applyAlignment="1" applyProtection="1">
      <alignment horizontal="center" vertical="center" wrapText="1"/>
      <protection hidden="1"/>
    </xf>
    <xf numFmtId="0" fontId="4" fillId="35" borderId="34" xfId="0" applyFont="1" applyFill="1" applyBorder="1" applyAlignment="1" applyProtection="1">
      <alignment horizontal="center" vertical="center" wrapText="1"/>
      <protection hidden="1"/>
    </xf>
    <xf numFmtId="0" fontId="4" fillId="35" borderId="29" xfId="0" applyFont="1" applyFill="1" applyBorder="1" applyAlignment="1" applyProtection="1">
      <alignment horizontal="center" vertical="center" wrapText="1"/>
      <protection hidden="1"/>
    </xf>
    <xf numFmtId="0" fontId="4" fillId="35" borderId="26" xfId="0" applyFont="1" applyFill="1" applyBorder="1" applyAlignment="1" applyProtection="1">
      <alignment horizontal="center" vertical="center" wrapText="1"/>
      <protection hidden="1"/>
    </xf>
    <xf numFmtId="0" fontId="4" fillId="0" borderId="61" xfId="0" applyFont="1" applyFill="1" applyBorder="1" applyAlignment="1" applyProtection="1">
      <alignment horizontal="center" vertical="center" wrapText="1"/>
      <protection hidden="1"/>
    </xf>
    <xf numFmtId="0" fontId="4" fillId="0" borderId="28" xfId="0" applyFont="1" applyFill="1" applyBorder="1" applyAlignment="1" applyProtection="1">
      <alignment horizontal="center" vertical="center" wrapText="1"/>
      <protection hidden="1"/>
    </xf>
    <xf numFmtId="0" fontId="4" fillId="0" borderId="34" xfId="0" applyFont="1" applyFill="1" applyBorder="1" applyAlignment="1" applyProtection="1">
      <alignment horizontal="center" vertical="center" wrapText="1"/>
      <protection hidden="1"/>
    </xf>
    <xf numFmtId="0" fontId="4" fillId="0" borderId="29" xfId="0" applyFont="1" applyFill="1" applyBorder="1" applyAlignment="1" applyProtection="1">
      <alignment horizontal="center" vertical="center" wrapText="1"/>
      <protection hidden="1"/>
    </xf>
    <xf numFmtId="0" fontId="4" fillId="0" borderId="26" xfId="0" applyFont="1" applyFill="1" applyBorder="1" applyAlignment="1" applyProtection="1">
      <alignment horizontal="center" vertical="center" wrapText="1"/>
      <protection hidden="1"/>
    </xf>
    <xf numFmtId="43" fontId="4" fillId="0" borderId="47" xfId="45" applyFont="1" applyFill="1" applyBorder="1" applyAlignment="1" applyProtection="1">
      <alignment horizontal="center" vertical="center" wrapText="1"/>
      <protection hidden="1"/>
    </xf>
    <xf numFmtId="43" fontId="4" fillId="0" borderId="96" xfId="45" applyFont="1" applyFill="1" applyBorder="1" applyAlignment="1" applyProtection="1">
      <alignment horizontal="center" vertical="center" wrapText="1"/>
      <protection hidden="1"/>
    </xf>
    <xf numFmtId="0" fontId="4" fillId="0" borderId="60" xfId="0" applyFont="1" applyFill="1" applyBorder="1" applyAlignment="1" applyProtection="1">
      <alignment horizontal="center" vertical="center" wrapText="1"/>
      <protection hidden="1"/>
    </xf>
    <xf numFmtId="0" fontId="4" fillId="0" borderId="165" xfId="0" applyFont="1" applyFill="1" applyBorder="1" applyAlignment="1" applyProtection="1">
      <alignment horizontal="center" vertical="center" wrapText="1"/>
      <protection hidden="1"/>
    </xf>
    <xf numFmtId="0" fontId="4" fillId="0" borderId="166" xfId="0" applyFont="1" applyFill="1" applyBorder="1" applyAlignment="1" applyProtection="1">
      <alignment horizontal="center" vertical="center" wrapText="1"/>
      <protection hidden="1"/>
    </xf>
    <xf numFmtId="0" fontId="4" fillId="35" borderId="60" xfId="0" applyFont="1" applyFill="1" applyBorder="1" applyAlignment="1" applyProtection="1">
      <alignment horizontal="center" vertical="center" wrapText="1"/>
      <protection hidden="1"/>
    </xf>
    <xf numFmtId="0" fontId="4" fillId="35" borderId="165" xfId="0" applyFont="1" applyFill="1" applyBorder="1" applyAlignment="1" applyProtection="1">
      <alignment horizontal="center" vertical="center" wrapText="1"/>
      <protection hidden="1"/>
    </xf>
    <xf numFmtId="0" fontId="4" fillId="35" borderId="166" xfId="0" applyFont="1" applyFill="1" applyBorder="1" applyAlignment="1" applyProtection="1">
      <alignment horizontal="center" vertical="center" wrapText="1"/>
      <protection hidden="1"/>
    </xf>
    <xf numFmtId="0" fontId="4" fillId="35" borderId="42" xfId="0" applyFont="1" applyFill="1" applyBorder="1" applyAlignment="1" applyProtection="1">
      <alignment horizontal="left" vertical="center" wrapText="1"/>
      <protection hidden="1"/>
    </xf>
    <xf numFmtId="0" fontId="4" fillId="35" borderId="29" xfId="0" applyFont="1" applyFill="1" applyBorder="1" applyAlignment="1" applyProtection="1">
      <alignment horizontal="left" vertical="center" wrapText="1"/>
      <protection hidden="1"/>
    </xf>
    <xf numFmtId="0" fontId="4" fillId="35" borderId="26" xfId="0" applyFont="1" applyFill="1" applyBorder="1" applyAlignment="1" applyProtection="1">
      <alignment horizontal="left" vertical="center" wrapText="1"/>
      <protection hidden="1"/>
    </xf>
    <xf numFmtId="0" fontId="4" fillId="35" borderId="34" xfId="0" applyFont="1" applyFill="1" applyBorder="1" applyAlignment="1" applyProtection="1">
      <alignment horizontal="left" vertical="center" wrapText="1"/>
      <protection hidden="1"/>
    </xf>
    <xf numFmtId="0" fontId="4" fillId="35" borderId="60" xfId="0" applyFont="1" applyFill="1" applyBorder="1" applyAlignment="1" applyProtection="1">
      <alignment horizontal="left" vertical="center" wrapText="1"/>
      <protection hidden="1"/>
    </xf>
    <xf numFmtId="0" fontId="4" fillId="35" borderId="165" xfId="0" applyFont="1" applyFill="1" applyBorder="1" applyAlignment="1" applyProtection="1">
      <alignment horizontal="left" vertical="center" wrapText="1"/>
      <protection hidden="1"/>
    </xf>
    <xf numFmtId="0" fontId="4" fillId="35" borderId="166" xfId="0" applyFont="1" applyFill="1" applyBorder="1" applyAlignment="1" applyProtection="1">
      <alignment horizontal="left" vertical="center" wrapText="1"/>
      <protection hidden="1"/>
    </xf>
    <xf numFmtId="43" fontId="4" fillId="0" borderId="47" xfId="0" applyNumberFormat="1" applyFont="1" applyFill="1" applyBorder="1" applyAlignment="1" applyProtection="1">
      <alignment horizontal="center" vertical="center" wrapText="1"/>
      <protection hidden="1"/>
    </xf>
    <xf numFmtId="43" fontId="4" fillId="0" borderId="96" xfId="0" applyNumberFormat="1" applyFont="1" applyFill="1" applyBorder="1" applyAlignment="1" applyProtection="1">
      <alignment horizontal="center" vertical="center" wrapText="1"/>
      <protection hidden="1"/>
    </xf>
    <xf numFmtId="0" fontId="4" fillId="0" borderId="58" xfId="0"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14" fillId="0" borderId="0" xfId="0" applyFont="1" applyFill="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wrapText="1"/>
      <protection hidden="1"/>
    </xf>
    <xf numFmtId="0" fontId="1" fillId="0" borderId="47" xfId="0" applyFont="1" applyFill="1" applyBorder="1" applyAlignment="1" applyProtection="1">
      <alignment horizontal="center" vertical="center" wrapText="1"/>
      <protection hidden="1"/>
    </xf>
    <xf numFmtId="0" fontId="1" fillId="0" borderId="96" xfId="0" applyFont="1" applyFill="1" applyBorder="1" applyAlignment="1" applyProtection="1">
      <alignment horizontal="center" vertical="center" wrapText="1"/>
      <protection hidden="1"/>
    </xf>
    <xf numFmtId="0" fontId="4" fillId="35" borderId="152" xfId="0" applyFont="1" applyFill="1" applyBorder="1" applyAlignment="1" applyProtection="1">
      <alignment horizontal="center" vertical="center" wrapText="1"/>
      <protection hidden="1"/>
    </xf>
    <xf numFmtId="0" fontId="4" fillId="35" borderId="42" xfId="0" applyFont="1" applyFill="1" applyBorder="1" applyAlignment="1" applyProtection="1">
      <alignment horizontal="center" vertical="center" wrapText="1"/>
      <protection hidden="1"/>
    </xf>
    <xf numFmtId="0" fontId="1" fillId="37" borderId="35" xfId="0" applyFont="1" applyFill="1" applyBorder="1" applyAlignment="1" applyProtection="1">
      <alignment horizontal="center" vertical="center" wrapText="1"/>
      <protection hidden="1"/>
    </xf>
    <xf numFmtId="0" fontId="1" fillId="37" borderId="76" xfId="0" applyFont="1" applyFill="1" applyBorder="1" applyAlignment="1" applyProtection="1">
      <alignment horizontal="center" vertical="center" wrapText="1"/>
      <protection hidden="1"/>
    </xf>
    <xf numFmtId="0" fontId="1" fillId="37" borderId="58" xfId="0" applyFont="1" applyFill="1" applyBorder="1" applyAlignment="1" applyProtection="1">
      <alignment horizontal="center" vertical="center" wrapText="1"/>
      <protection hidden="1"/>
    </xf>
    <xf numFmtId="0" fontId="1" fillId="37" borderId="49" xfId="0" applyFont="1" applyFill="1" applyBorder="1" applyAlignment="1" applyProtection="1">
      <alignment horizontal="center" vertical="center" wrapText="1"/>
      <protection hidden="1"/>
    </xf>
    <xf numFmtId="0" fontId="1" fillId="35" borderId="55" xfId="0" applyFont="1" applyFill="1" applyBorder="1" applyAlignment="1" applyProtection="1">
      <alignment horizontal="center" vertical="center" wrapText="1"/>
      <protection hidden="1"/>
    </xf>
    <xf numFmtId="0" fontId="1" fillId="35" borderId="93" xfId="0" applyFont="1" applyFill="1" applyBorder="1" applyAlignment="1" applyProtection="1">
      <alignment horizontal="center" vertical="center" wrapText="1"/>
      <protection hidden="1"/>
    </xf>
    <xf numFmtId="0" fontId="4" fillId="35" borderId="33" xfId="0" applyFont="1" applyFill="1" applyBorder="1" applyAlignment="1" applyProtection="1">
      <alignment horizontal="center" vertical="center" wrapText="1"/>
      <protection hidden="1"/>
    </xf>
    <xf numFmtId="0" fontId="4" fillId="35" borderId="24" xfId="0" applyFont="1" applyFill="1" applyBorder="1" applyAlignment="1" applyProtection="1">
      <alignment horizontal="center" vertical="center" wrapText="1"/>
      <protection hidden="1"/>
    </xf>
    <xf numFmtId="0" fontId="4" fillId="35" borderId="75" xfId="0" applyFont="1" applyFill="1" applyBorder="1" applyAlignment="1" applyProtection="1">
      <alignment horizontal="center" vertical="center" wrapText="1"/>
      <protection hidden="1"/>
    </xf>
    <xf numFmtId="0" fontId="1" fillId="37" borderId="47" xfId="0" applyFont="1" applyFill="1" applyBorder="1" applyAlignment="1" applyProtection="1">
      <alignment horizontal="center" vertical="center" wrapText="1"/>
      <protection hidden="1"/>
    </xf>
    <xf numFmtId="0" fontId="1" fillId="37" borderId="96" xfId="0" applyFont="1" applyFill="1" applyBorder="1" applyAlignment="1" applyProtection="1">
      <alignment horizontal="center" vertical="center" wrapText="1"/>
      <protection hidden="1"/>
    </xf>
    <xf numFmtId="43" fontId="1" fillId="35" borderId="47" xfId="45" applyFont="1" applyFill="1" applyBorder="1" applyAlignment="1" applyProtection="1">
      <alignment horizontal="center" vertical="center" wrapText="1"/>
      <protection hidden="1"/>
    </xf>
    <xf numFmtId="43" fontId="1" fillId="35" borderId="96" xfId="45" applyFont="1" applyFill="1" applyBorder="1" applyAlignment="1" applyProtection="1">
      <alignment horizontal="center" vertical="center" wrapText="1"/>
      <protection hidden="1"/>
    </xf>
    <xf numFmtId="0" fontId="4" fillId="35" borderId="61" xfId="0" applyFont="1" applyFill="1" applyBorder="1" applyAlignment="1" applyProtection="1">
      <alignment horizontal="center" vertical="center" wrapText="1"/>
      <protection hidden="1"/>
    </xf>
    <xf numFmtId="0" fontId="4" fillId="35" borderId="28" xfId="0" applyFont="1" applyFill="1" applyBorder="1" applyAlignment="1" applyProtection="1">
      <alignment horizontal="center" vertical="center" wrapText="1"/>
      <protection hidden="1"/>
    </xf>
    <xf numFmtId="0" fontId="4" fillId="35" borderId="167" xfId="0" applyFont="1" applyFill="1" applyBorder="1" applyAlignment="1" applyProtection="1">
      <alignment horizontal="center" vertical="center" wrapText="1"/>
      <protection hidden="1"/>
    </xf>
    <xf numFmtId="0" fontId="4" fillId="35" borderId="12" xfId="0" applyFont="1" applyFill="1" applyBorder="1" applyAlignment="1" applyProtection="1">
      <alignment horizontal="center" vertical="center" wrapText="1"/>
      <protection hidden="1"/>
    </xf>
    <xf numFmtId="0" fontId="4" fillId="0" borderId="33" xfId="0" applyFont="1" applyFill="1" applyBorder="1" applyAlignment="1" applyProtection="1">
      <alignment horizontal="center" vertical="center" wrapText="1"/>
      <protection hidden="1"/>
    </xf>
    <xf numFmtId="0" fontId="4" fillId="0" borderId="24" xfId="0" applyFont="1" applyFill="1" applyBorder="1" applyAlignment="1" applyProtection="1">
      <alignment horizontal="center" vertical="center" wrapText="1"/>
      <protection hidden="1"/>
    </xf>
    <xf numFmtId="0" fontId="4" fillId="0" borderId="75" xfId="0" applyFont="1" applyFill="1" applyBorder="1" applyAlignment="1" applyProtection="1">
      <alignment horizontal="center" vertical="center" wrapText="1"/>
      <protection hidden="1"/>
    </xf>
    <xf numFmtId="0" fontId="4" fillId="0" borderId="66" xfId="0" applyFont="1" applyFill="1" applyBorder="1" applyAlignment="1" applyProtection="1">
      <alignment horizontal="center" vertical="center" wrapText="1"/>
      <protection hidden="1"/>
    </xf>
    <xf numFmtId="0" fontId="5" fillId="0" borderId="0" xfId="0" applyFont="1" applyAlignment="1">
      <alignment horizontal="center" vertical="center"/>
    </xf>
    <xf numFmtId="0" fontId="30" fillId="0" borderId="28" xfId="0" applyFont="1" applyFill="1" applyBorder="1" applyAlignment="1">
      <alignment horizontal="right" vertical="center"/>
    </xf>
    <xf numFmtId="0" fontId="31" fillId="0" borderId="28" xfId="0" applyFont="1" applyFill="1" applyBorder="1" applyAlignment="1">
      <alignment horizontal="right" vertical="center"/>
    </xf>
    <xf numFmtId="0" fontId="27"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7" fillId="0" borderId="42" xfId="0" applyFont="1" applyFill="1" applyBorder="1" applyAlignment="1">
      <alignment horizontal="left" vertical="center"/>
    </xf>
    <xf numFmtId="0" fontId="27" fillId="0" borderId="26" xfId="0" applyFont="1" applyFill="1" applyBorder="1" applyAlignment="1">
      <alignment horizontal="left" vertical="center"/>
    </xf>
    <xf numFmtId="0" fontId="19" fillId="0" borderId="0" xfId="0" applyFont="1" applyFill="1" applyAlignment="1">
      <alignment horizontal="right" vertical="center"/>
    </xf>
    <xf numFmtId="0" fontId="19" fillId="0" borderId="0" xfId="0" applyFont="1" applyFill="1" applyAlignment="1">
      <alignment horizontal="center" vertical="center"/>
    </xf>
    <xf numFmtId="0" fontId="36" fillId="0" borderId="76" xfId="0" applyFont="1" applyFill="1" applyBorder="1" applyAlignment="1">
      <alignment horizontal="center" vertical="center" wrapText="1"/>
    </xf>
    <xf numFmtId="0" fontId="7" fillId="0" borderId="32"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68" xfId="0" applyFont="1" applyFill="1" applyBorder="1" applyAlignment="1">
      <alignment horizontal="center" vertical="center"/>
    </xf>
    <xf numFmtId="0" fontId="7" fillId="0" borderId="105"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93" xfId="0" applyFont="1" applyFill="1" applyBorder="1" applyAlignment="1">
      <alignment horizontal="center" vertical="center"/>
    </xf>
    <xf numFmtId="0" fontId="17" fillId="0" borderId="32"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0" fillId="0" borderId="0" xfId="0" applyFill="1" applyAlignment="1">
      <alignment horizontal="left"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7" fillId="0" borderId="105" xfId="0" applyFont="1" applyBorder="1" applyAlignment="1">
      <alignment horizontal="center" vertical="center" wrapText="1"/>
    </xf>
    <xf numFmtId="0" fontId="17" fillId="0" borderId="91" xfId="0" applyFont="1" applyBorder="1" applyAlignment="1">
      <alignment horizontal="center" vertical="center" wrapText="1"/>
    </xf>
    <xf numFmtId="0" fontId="17" fillId="0" borderId="167" xfId="0" applyFont="1" applyFill="1" applyBorder="1" applyAlignment="1">
      <alignment horizontal="center" vertical="center"/>
    </xf>
    <xf numFmtId="0" fontId="17" fillId="0" borderId="17" xfId="0" applyFont="1" applyFill="1" applyBorder="1" applyAlignment="1">
      <alignment horizontal="center" vertical="center"/>
    </xf>
    <xf numFmtId="0" fontId="0" fillId="0" borderId="0" xfId="0" applyAlignment="1">
      <alignment horizontal="left" wrapText="1"/>
    </xf>
    <xf numFmtId="0" fontId="114" fillId="0" borderId="134" xfId="0" applyFont="1" applyBorder="1" applyAlignment="1">
      <alignment horizontal="left" vertical="center"/>
    </xf>
    <xf numFmtId="0" fontId="114" fillId="0" borderId="136" xfId="0" applyFont="1" applyBorder="1" applyAlignment="1">
      <alignment horizontal="left" vertical="center"/>
    </xf>
    <xf numFmtId="0" fontId="114" fillId="0" borderId="43" xfId="0" applyFont="1" applyBorder="1" applyAlignment="1">
      <alignment horizontal="left"/>
    </xf>
    <xf numFmtId="0" fontId="114" fillId="0" borderId="27" xfId="0" applyFont="1" applyBorder="1" applyAlignment="1">
      <alignment horizontal="left"/>
    </xf>
    <xf numFmtId="0" fontId="114" fillId="0" borderId="14" xfId="0" applyFont="1" applyBorder="1" applyAlignment="1">
      <alignment horizontal="left"/>
    </xf>
    <xf numFmtId="0" fontId="19" fillId="0" borderId="0" xfId="0" applyFont="1" applyAlignment="1">
      <alignment horizontal="right"/>
    </xf>
    <xf numFmtId="0" fontId="19" fillId="0" borderId="0" xfId="0" applyFont="1" applyAlignment="1">
      <alignment horizontal="center" wrapText="1"/>
    </xf>
    <xf numFmtId="0" fontId="19" fillId="0" borderId="0" xfId="0" applyFont="1" applyAlignment="1">
      <alignment horizontal="center"/>
    </xf>
    <xf numFmtId="0" fontId="17" fillId="0" borderId="169" xfId="0" applyFont="1" applyBorder="1" applyAlignment="1">
      <alignment horizontal="center" vertical="center" wrapText="1"/>
    </xf>
    <xf numFmtId="0" fontId="17" fillId="0" borderId="170" xfId="0" applyFont="1" applyBorder="1" applyAlignment="1">
      <alignment horizontal="center" vertical="center" wrapText="1"/>
    </xf>
    <xf numFmtId="0" fontId="114" fillId="0" borderId="171" xfId="0" applyFont="1" applyBorder="1" applyAlignment="1">
      <alignment horizontal="left" vertical="center" wrapText="1"/>
    </xf>
    <xf numFmtId="0" fontId="114" fillId="0" borderId="29" xfId="0" applyFont="1" applyBorder="1" applyAlignment="1">
      <alignment horizontal="left" vertical="center" wrapText="1"/>
    </xf>
    <xf numFmtId="0" fontId="114" fillId="0" borderId="172" xfId="0" applyFont="1" applyBorder="1" applyAlignment="1">
      <alignment horizontal="left" vertical="center" wrapText="1"/>
    </xf>
    <xf numFmtId="0" fontId="20" fillId="36" borderId="0" xfId="0" applyFont="1" applyFill="1" applyAlignment="1">
      <alignment vertical="center" wrapText="1"/>
    </xf>
    <xf numFmtId="0" fontId="22" fillId="0" borderId="139" xfId="0" applyFont="1" applyBorder="1" applyAlignment="1">
      <alignment horizontal="right"/>
    </xf>
    <xf numFmtId="0" fontId="22" fillId="0" borderId="173" xfId="0" applyFont="1" applyBorder="1" applyAlignment="1">
      <alignment horizontal="right"/>
    </xf>
    <xf numFmtId="0" fontId="0" fillId="0" borderId="0" xfId="0" applyAlignment="1">
      <alignment vertical="center" wrapText="1"/>
    </xf>
    <xf numFmtId="0" fontId="131" fillId="36" borderId="0" xfId="0" applyFont="1" applyFill="1" applyAlignment="1">
      <alignment horizontal="left" vertical="center" wrapText="1"/>
    </xf>
    <xf numFmtId="0" fontId="49" fillId="0" borderId="0" xfId="0" applyFont="1" applyAlignment="1">
      <alignment horizontal="right"/>
    </xf>
    <xf numFmtId="0" fontId="50" fillId="0" borderId="0" xfId="0" applyFont="1" applyAlignment="1">
      <alignment horizontal="center" wrapText="1"/>
    </xf>
    <xf numFmtId="0" fontId="22" fillId="0" borderId="174" xfId="0" applyFont="1" applyBorder="1" applyAlignment="1">
      <alignment horizontal="left" wrapText="1"/>
    </xf>
    <xf numFmtId="0" fontId="22" fillId="0" borderId="142" xfId="0" applyFont="1" applyBorder="1" applyAlignment="1">
      <alignment horizontal="left" wrapText="1"/>
    </xf>
    <xf numFmtId="0" fontId="22" fillId="0" borderId="139" xfId="0" applyFont="1" applyBorder="1" applyAlignment="1">
      <alignment horizontal="left"/>
    </xf>
    <xf numFmtId="0" fontId="22" fillId="0" borderId="140" xfId="0" applyFont="1" applyBorder="1" applyAlignment="1">
      <alignment horizontal="left"/>
    </xf>
    <xf numFmtId="0" fontId="22" fillId="0" borderId="175" xfId="0" applyFont="1" applyBorder="1" applyAlignment="1">
      <alignment horizontal="left"/>
    </xf>
    <xf numFmtId="0" fontId="22" fillId="0" borderId="176" xfId="0" applyFont="1" applyBorder="1" applyAlignment="1">
      <alignment horizontal="left" wrapText="1"/>
    </xf>
    <xf numFmtId="0" fontId="22" fillId="0" borderId="150" xfId="0" applyFont="1" applyBorder="1" applyAlignment="1">
      <alignment horizontal="left" wrapText="1"/>
    </xf>
    <xf numFmtId="0" fontId="61" fillId="0" borderId="0" xfId="0" applyFont="1" applyAlignment="1">
      <alignment horizontal="right" vertical="center"/>
    </xf>
    <xf numFmtId="0" fontId="56" fillId="0" borderId="0" xfId="0" applyFont="1" applyAlignment="1">
      <alignment horizontal="center" vertical="center"/>
    </xf>
    <xf numFmtId="0" fontId="123" fillId="0" borderId="0" xfId="0" applyFont="1" applyAlignment="1">
      <alignment horizontal="justify" vertical="center" wrapText="1"/>
    </xf>
    <xf numFmtId="0" fontId="123" fillId="0" borderId="0" xfId="0" applyFont="1" applyAlignment="1">
      <alignment horizontal="left" vertical="center" wrapText="1"/>
    </xf>
    <xf numFmtId="0" fontId="122" fillId="0" borderId="28" xfId="0" applyFont="1" applyBorder="1" applyAlignment="1">
      <alignment horizontal="left" vertical="center" wrapText="1"/>
    </xf>
    <xf numFmtId="0" fontId="125" fillId="0" borderId="28" xfId="0" applyFont="1" applyBorder="1" applyAlignment="1">
      <alignment horizontal="left" vertical="center" wrapText="1"/>
    </xf>
    <xf numFmtId="0" fontId="122" fillId="0" borderId="28" xfId="0" applyFont="1" applyBorder="1" applyAlignment="1">
      <alignment horizontal="left" vertical="center"/>
    </xf>
    <xf numFmtId="0" fontId="125" fillId="0" borderId="28" xfId="0" applyFont="1" applyBorder="1" applyAlignment="1">
      <alignment horizontal="left" vertical="center"/>
    </xf>
    <xf numFmtId="0" fontId="132" fillId="0" borderId="28" xfId="0" applyFont="1" applyBorder="1" applyAlignment="1">
      <alignment horizontal="left" vertical="center"/>
    </xf>
    <xf numFmtId="0" fontId="50" fillId="0" borderId="0" xfId="0" applyFont="1" applyAlignment="1">
      <alignment horizontal="right" vertical="center"/>
    </xf>
    <xf numFmtId="0" fontId="70" fillId="0" borderId="0" xfId="0" applyFont="1" applyAlignment="1">
      <alignment horizontal="center" vertical="center"/>
    </xf>
    <xf numFmtId="0" fontId="63" fillId="0" borderId="28" xfId="0" applyFont="1" applyBorder="1" applyAlignment="1">
      <alignment horizontal="center" vertical="center" wrapText="1"/>
    </xf>
    <xf numFmtId="0" fontId="125" fillId="0" borderId="28" xfId="0" applyFont="1" applyBorder="1" applyAlignment="1">
      <alignment horizontal="right" vertical="center"/>
    </xf>
    <xf numFmtId="0" fontId="133" fillId="0" borderId="0" xfId="0" applyFont="1" applyAlignment="1" quotePrefix="1">
      <alignment horizontal="left" wrapText="1"/>
    </xf>
    <xf numFmtId="0" fontId="0" fillId="0" borderId="0" xfId="0" applyFont="1" applyAlignment="1" quotePrefix="1">
      <alignment horizontal="left" vertical="center" wrapText="1"/>
    </xf>
    <xf numFmtId="0" fontId="44" fillId="0" borderId="42" xfId="0" applyFont="1" applyBorder="1" applyAlignment="1">
      <alignment horizontal="center" vertical="center"/>
    </xf>
    <xf numFmtId="0" fontId="44" fillId="0" borderId="29" xfId="0" applyFont="1" applyBorder="1" applyAlignment="1">
      <alignment horizontal="center" vertical="center"/>
    </xf>
    <xf numFmtId="0" fontId="44" fillId="0" borderId="26" xfId="0" applyFont="1" applyBorder="1" applyAlignment="1">
      <alignment horizontal="center" vertical="center"/>
    </xf>
    <xf numFmtId="0" fontId="0" fillId="0" borderId="51" xfId="0" applyFont="1" applyBorder="1" applyAlignment="1">
      <alignment vertical="center" wrapText="1"/>
    </xf>
    <xf numFmtId="0" fontId="0" fillId="0" borderId="24" xfId="0" applyFont="1" applyBorder="1" applyAlignment="1">
      <alignment vertical="center" wrapText="1"/>
    </xf>
    <xf numFmtId="0" fontId="0" fillId="0" borderId="75" xfId="0" applyFont="1" applyBorder="1" applyAlignment="1">
      <alignment vertical="center" wrapText="1"/>
    </xf>
    <xf numFmtId="0" fontId="0" fillId="0" borderId="31" xfId="0" applyFont="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0" fillId="0" borderId="43" xfId="0" applyFont="1" applyBorder="1" applyAlignment="1">
      <alignment horizontal="left" vertical="center" wrapText="1"/>
    </xf>
    <xf numFmtId="0" fontId="0" fillId="0" borderId="27" xfId="0" applyFont="1" applyBorder="1" applyAlignment="1">
      <alignment horizontal="left" vertical="center" wrapText="1"/>
    </xf>
    <xf numFmtId="0" fontId="0" fillId="0" borderId="14" xfId="0" applyFont="1" applyBorder="1" applyAlignment="1">
      <alignment horizontal="left" vertical="center" wrapText="1"/>
    </xf>
    <xf numFmtId="0" fontId="44" fillId="0" borderId="28" xfId="0" applyFont="1" applyBorder="1" applyAlignment="1">
      <alignment horizontal="center" vertical="center"/>
    </xf>
    <xf numFmtId="0" fontId="3" fillId="0" borderId="28" xfId="0" applyFont="1" applyBorder="1" applyAlignment="1">
      <alignment horizontal="left" vertical="center"/>
    </xf>
    <xf numFmtId="0" fontId="3" fillId="0" borderId="28" xfId="0" applyFont="1" applyBorder="1" applyAlignment="1" quotePrefix="1">
      <alignment horizontal="left" vertical="center"/>
    </xf>
    <xf numFmtId="0" fontId="44" fillId="0" borderId="42"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26" xfId="0" applyFont="1" applyBorder="1" applyAlignment="1">
      <alignment horizontal="center" vertical="center" wrapText="1"/>
    </xf>
    <xf numFmtId="0" fontId="0" fillId="0" borderId="51" xfId="0" applyFont="1" applyBorder="1" applyAlignment="1">
      <alignment horizontal="left" vertical="center"/>
    </xf>
    <xf numFmtId="0" fontId="0" fillId="0" borderId="24" xfId="0" applyFont="1" applyBorder="1" applyAlignment="1">
      <alignment horizontal="left" vertical="center"/>
    </xf>
    <xf numFmtId="0" fontId="0" fillId="0" borderId="75" xfId="0" applyFont="1" applyBorder="1" applyAlignment="1">
      <alignment horizontal="left" vertical="center"/>
    </xf>
    <xf numFmtId="0" fontId="0" fillId="0" borderId="31" xfId="0" applyFont="1" applyBorder="1" applyAlignment="1">
      <alignment horizontal="left" vertical="center"/>
    </xf>
    <xf numFmtId="0" fontId="0" fillId="0" borderId="0" xfId="0" applyFont="1" applyBorder="1" applyAlignment="1">
      <alignment horizontal="left" vertical="center"/>
    </xf>
    <xf numFmtId="0" fontId="0" fillId="0" borderId="10" xfId="0" applyFont="1" applyBorder="1" applyAlignment="1">
      <alignment horizontal="left" vertical="center"/>
    </xf>
    <xf numFmtId="0" fontId="4" fillId="0" borderId="31" xfId="0" applyFont="1" applyBorder="1" applyAlignment="1">
      <alignment vertical="center" wrapText="1"/>
    </xf>
    <xf numFmtId="0" fontId="4" fillId="0" borderId="0" xfId="0" applyFont="1" applyBorder="1" applyAlignment="1">
      <alignment vertical="center" wrapText="1"/>
    </xf>
    <xf numFmtId="0" fontId="4" fillId="0" borderId="31" xfId="0" applyFont="1" applyBorder="1" applyAlignment="1">
      <alignment horizontal="left" vertical="center"/>
    </xf>
    <xf numFmtId="0" fontId="4" fillId="0" borderId="0" xfId="0" applyFont="1" applyBorder="1" applyAlignment="1">
      <alignment horizontal="left" vertical="center"/>
    </xf>
    <xf numFmtId="0" fontId="3" fillId="0" borderId="42" xfId="0" applyFont="1" applyBorder="1" applyAlignment="1">
      <alignment horizontal="center" vertical="center"/>
    </xf>
    <xf numFmtId="0" fontId="3" fillId="0" borderId="29" xfId="0" applyFont="1" applyBorder="1" applyAlignment="1">
      <alignment horizontal="center" vertical="center"/>
    </xf>
    <xf numFmtId="0" fontId="3" fillId="0" borderId="26" xfId="0" applyFont="1" applyBorder="1" applyAlignment="1">
      <alignment horizontal="center" vertical="center"/>
    </xf>
    <xf numFmtId="0" fontId="0" fillId="0" borderId="31" xfId="0" applyFont="1" applyBorder="1" applyAlignment="1">
      <alignment vertical="center" wrapText="1"/>
    </xf>
    <xf numFmtId="0" fontId="0" fillId="0" borderId="0" xfId="0" applyFont="1" applyBorder="1" applyAlignment="1">
      <alignment vertical="center" wrapText="1"/>
    </xf>
    <xf numFmtId="0" fontId="0" fillId="0" borderId="10" xfId="0" applyFont="1" applyBorder="1" applyAlignment="1">
      <alignment vertical="center" wrapText="1"/>
    </xf>
    <xf numFmtId="0" fontId="46" fillId="0" borderId="0" xfId="0" applyFont="1" applyFill="1" applyBorder="1" applyAlignment="1">
      <alignment horizontal="right" vertical="center"/>
    </xf>
    <xf numFmtId="0" fontId="5" fillId="0" borderId="5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75" xfId="0" applyFont="1" applyBorder="1" applyAlignment="1">
      <alignment horizontal="center" vertical="center" wrapText="1"/>
    </xf>
    <xf numFmtId="0" fontId="3" fillId="0" borderId="42"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0" xfId="0" applyFont="1" applyAlignment="1">
      <alignment vertical="center"/>
    </xf>
    <xf numFmtId="0" fontId="0" fillId="0" borderId="10" xfId="0" applyFont="1" applyBorder="1" applyAlignment="1">
      <alignment vertical="center"/>
    </xf>
    <xf numFmtId="0" fontId="43" fillId="0" borderId="0" xfId="0" applyFont="1" applyAlignment="1" quotePrefix="1">
      <alignment horizontal="left" vertical="center"/>
    </xf>
    <xf numFmtId="0" fontId="0" fillId="0" borderId="31"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43" fillId="0" borderId="0" xfId="0" applyFont="1" applyFill="1" applyAlignment="1" quotePrefix="1">
      <alignment horizontal="left" vertical="center" wrapText="1"/>
    </xf>
    <xf numFmtId="0" fontId="4" fillId="0" borderId="31" xfId="0" applyFont="1" applyBorder="1" applyAlignment="1">
      <alignment horizontal="left" vertical="center" wrapText="1"/>
    </xf>
    <xf numFmtId="0" fontId="4" fillId="0" borderId="0" xfId="0" applyFont="1" applyBorder="1" applyAlignment="1">
      <alignment horizontal="left" vertical="center" wrapText="1"/>
    </xf>
    <xf numFmtId="0" fontId="0" fillId="0" borderId="31" xfId="0" applyBorder="1" applyAlignment="1">
      <alignment horizontal="left" vertical="center"/>
    </xf>
    <xf numFmtId="0" fontId="0" fillId="0" borderId="0" xfId="0" applyBorder="1" applyAlignment="1">
      <alignment horizontal="left" vertical="center"/>
    </xf>
    <xf numFmtId="0" fontId="48" fillId="0" borderId="42" xfId="0" applyFont="1" applyBorder="1" applyAlignment="1">
      <alignment horizontal="left" vertical="center" wrapText="1"/>
    </xf>
    <xf numFmtId="0" fontId="48" fillId="0" borderId="29" xfId="0" applyFont="1" applyBorder="1" applyAlignment="1">
      <alignment horizontal="left" vertical="center" wrapText="1"/>
    </xf>
    <xf numFmtId="0" fontId="0" fillId="0" borderId="51" xfId="0" applyBorder="1" applyAlignment="1">
      <alignment horizontal="left" vertical="center" wrapText="1"/>
    </xf>
    <xf numFmtId="0" fontId="0" fillId="0" borderId="24" xfId="0" applyBorder="1" applyAlignment="1">
      <alignment horizontal="left" vertical="center" wrapText="1"/>
    </xf>
    <xf numFmtId="0" fontId="0" fillId="0" borderId="75" xfId="0" applyBorder="1" applyAlignment="1">
      <alignment horizontal="left" vertical="center" wrapText="1"/>
    </xf>
    <xf numFmtId="0" fontId="56" fillId="0" borderId="0" xfId="0" applyFont="1" applyFill="1" applyBorder="1" applyAlignment="1">
      <alignment horizontal="right" vertical="center"/>
    </xf>
    <xf numFmtId="0" fontId="4" fillId="0" borderId="31" xfId="0" applyFont="1" applyBorder="1" applyAlignment="1">
      <alignment horizontal="center" vertical="center"/>
    </xf>
    <xf numFmtId="0" fontId="4" fillId="0" borderId="0" xfId="0" applyFont="1" applyBorder="1" applyAlignment="1">
      <alignment horizontal="center" vertical="center"/>
    </xf>
    <xf numFmtId="0" fontId="0" fillId="0" borderId="42" xfId="0" applyFont="1" applyBorder="1" applyAlignment="1">
      <alignment horizontal="center" vertical="center" wrapText="1"/>
    </xf>
    <xf numFmtId="43" fontId="0" fillId="47" borderId="70" xfId="45" applyFont="1" applyFill="1" applyBorder="1" applyAlignment="1" applyProtection="1">
      <alignment vertical="center" wrapText="1"/>
      <protection hidden="1"/>
    </xf>
    <xf numFmtId="43" fontId="0" fillId="47" borderId="110" xfId="45" applyFont="1" applyFill="1" applyBorder="1" applyAlignment="1" applyProtection="1">
      <alignment vertical="center" wrapText="1"/>
      <protection hidden="1"/>
    </xf>
    <xf numFmtId="43" fontId="0" fillId="47" borderId="71" xfId="45" applyFont="1" applyFill="1" applyBorder="1" applyAlignment="1" applyProtection="1">
      <alignment vertical="center" wrapText="1"/>
      <protection hidden="1"/>
    </xf>
    <xf numFmtId="43" fontId="0" fillId="47" borderId="83" xfId="45" applyFont="1" applyFill="1" applyBorder="1" applyAlignment="1" applyProtection="1">
      <alignment vertical="center" wrapText="1"/>
      <protection hidden="1"/>
    </xf>
    <xf numFmtId="43" fontId="0" fillId="47" borderId="70" xfId="45" applyFont="1" applyFill="1" applyBorder="1" applyAlignment="1" applyProtection="1">
      <alignment vertical="center" wrapText="1"/>
      <protection hidden="1"/>
    </xf>
    <xf numFmtId="43" fontId="0" fillId="47" borderId="86" xfId="45" applyFont="1" applyFill="1" applyBorder="1" applyAlignment="1" applyProtection="1">
      <alignment vertical="center" wrapText="1"/>
      <protection hidden="1"/>
    </xf>
    <xf numFmtId="43" fontId="0" fillId="47" borderId="80" xfId="45" applyFont="1" applyFill="1" applyBorder="1" applyAlignment="1" applyProtection="1">
      <alignment vertical="center" wrapText="1"/>
      <protection hidden="1"/>
    </xf>
    <xf numFmtId="43" fontId="0" fillId="47" borderId="0" xfId="45" applyFont="1" applyFill="1" applyAlignment="1" applyProtection="1">
      <alignment vertical="center" wrapText="1"/>
      <protection hidden="1"/>
    </xf>
    <xf numFmtId="43" fontId="0" fillId="47" borderId="71" xfId="45" applyFont="1" applyFill="1" applyBorder="1" applyAlignment="1" applyProtection="1">
      <alignment vertical="center" wrapText="1"/>
      <protection hidden="1"/>
    </xf>
    <xf numFmtId="43" fontId="0" fillId="48" borderId="86" xfId="45" applyFont="1" applyFill="1" applyBorder="1" applyAlignment="1" applyProtection="1">
      <alignment vertical="center" wrapText="1"/>
      <protection hidden="1"/>
    </xf>
    <xf numFmtId="43" fontId="0" fillId="48" borderId="90" xfId="45" applyFont="1" applyFill="1" applyBorder="1" applyAlignment="1" applyProtection="1">
      <alignment vertical="center" wrapText="1"/>
      <protection hidden="1"/>
    </xf>
    <xf numFmtId="43" fontId="0" fillId="48" borderId="70" xfId="45" applyFont="1" applyFill="1" applyBorder="1" applyAlignment="1" applyProtection="1">
      <alignment vertical="center" wrapText="1"/>
      <protection hidden="1"/>
    </xf>
    <xf numFmtId="0" fontId="0" fillId="0" borderId="0" xfId="0" applyFont="1" applyFill="1" applyAlignment="1" applyProtection="1">
      <alignment vertical="center" wrapText="1"/>
      <protection hidden="1"/>
    </xf>
    <xf numFmtId="43" fontId="0" fillId="0" borderId="101" xfId="45" applyFont="1" applyFill="1" applyBorder="1" applyAlignment="1" applyProtection="1">
      <alignment vertical="center" wrapText="1"/>
      <protection hidden="1"/>
    </xf>
    <xf numFmtId="0" fontId="15" fillId="0" borderId="70" xfId="54" applyFont="1" applyFill="1" applyBorder="1" applyAlignment="1" applyProtection="1" quotePrefix="1">
      <alignment horizontal="center" vertical="center" wrapText="1"/>
      <protection locked="0"/>
    </xf>
    <xf numFmtId="0" fontId="0" fillId="0" borderId="31" xfId="0" applyFill="1" applyBorder="1" applyAlignment="1">
      <alignment horizontal="center" vertical="center"/>
    </xf>
    <xf numFmtId="0" fontId="0" fillId="0" borderId="19" xfId="0" applyFill="1" applyBorder="1" applyAlignment="1">
      <alignment horizontal="center" vertical="center"/>
    </xf>
    <xf numFmtId="0" fontId="17" fillId="0" borderId="38" xfId="0" applyFont="1" applyFill="1" applyBorder="1" applyAlignment="1">
      <alignment horizontal="center" vertical="center" wrapText="1"/>
    </xf>
    <xf numFmtId="0" fontId="17" fillId="0" borderId="84" xfId="0" applyFont="1" applyFill="1" applyBorder="1" applyAlignment="1">
      <alignment horizontal="center" vertical="center" wrapText="1"/>
    </xf>
    <xf numFmtId="0" fontId="17" fillId="0" borderId="81"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0" fillId="0" borderId="87" xfId="0" applyFont="1" applyFill="1" applyBorder="1" applyAlignment="1" applyProtection="1">
      <alignment vertical="center" wrapText="1"/>
      <protection locked="0"/>
    </xf>
    <xf numFmtId="43" fontId="0" fillId="12" borderId="114" xfId="45" applyFont="1" applyFill="1" applyBorder="1" applyAlignment="1" applyProtection="1">
      <alignment vertical="center" wrapText="1"/>
      <protection hidden="1"/>
    </xf>
    <xf numFmtId="43" fontId="0" fillId="12" borderId="113" xfId="45" applyFont="1" applyFill="1" applyBorder="1" applyAlignment="1" applyProtection="1">
      <alignment vertical="center" wrapText="1"/>
      <protection hidden="1"/>
    </xf>
    <xf numFmtId="43" fontId="0" fillId="12" borderId="114" xfId="45" applyFont="1" applyFill="1" applyBorder="1" applyAlignment="1" applyProtection="1">
      <alignment vertical="center" wrapText="1"/>
      <protection hidden="1"/>
    </xf>
    <xf numFmtId="43" fontId="0" fillId="12" borderId="124" xfId="45" applyFont="1" applyFill="1" applyBorder="1" applyAlignment="1" applyProtection="1">
      <alignment vertical="center" wrapText="1"/>
      <protection hidden="1"/>
    </xf>
    <xf numFmtId="43" fontId="0" fillId="12" borderId="114" xfId="45" applyFont="1" applyFill="1" applyBorder="1" applyAlignment="1" applyProtection="1">
      <alignment vertical="center" wrapText="1"/>
      <protection hidden="1"/>
    </xf>
    <xf numFmtId="43" fontId="4" fillId="45" borderId="28" xfId="45" applyFont="1" applyFill="1" applyBorder="1" applyAlignment="1" applyProtection="1">
      <alignment vertical="center" wrapText="1"/>
      <protection hidden="1"/>
    </xf>
    <xf numFmtId="43" fontId="4" fillId="46" borderId="28" xfId="45" applyFont="1" applyFill="1" applyBorder="1" applyAlignment="1" applyProtection="1">
      <alignment vertical="center" wrapText="1"/>
      <protection hidden="1"/>
    </xf>
    <xf numFmtId="43" fontId="4" fillId="46" borderId="12" xfId="45" applyFont="1" applyFill="1" applyBorder="1" applyAlignment="1" applyProtection="1">
      <alignment vertical="center" wrapText="1"/>
      <protection hidden="1"/>
    </xf>
    <xf numFmtId="43" fontId="4" fillId="46" borderId="38" xfId="45" applyFont="1" applyFill="1" applyBorder="1" applyAlignment="1" applyProtection="1">
      <alignment vertical="center" wrapText="1"/>
      <protection hidden="1"/>
    </xf>
    <xf numFmtId="43" fontId="4" fillId="46" borderId="46" xfId="45" applyFont="1" applyFill="1" applyBorder="1" applyAlignment="1" applyProtection="1">
      <alignment vertical="center" wrapText="1"/>
      <protection hidden="1"/>
    </xf>
    <xf numFmtId="43" fontId="4" fillId="46" borderId="49" xfId="45" applyFont="1" applyFill="1" applyBorder="1" applyAlignment="1" applyProtection="1">
      <alignment vertical="center" wrapText="1"/>
      <protection hidden="1"/>
    </xf>
    <xf numFmtId="43" fontId="4" fillId="46" borderId="84" xfId="45" applyFont="1" applyFill="1" applyBorder="1" applyAlignment="1" applyProtection="1">
      <alignment vertical="center" wrapText="1"/>
      <protection hidden="1"/>
    </xf>
    <xf numFmtId="43" fontId="4" fillId="46" borderId="155" xfId="45" applyFont="1" applyFill="1" applyBorder="1" applyAlignment="1" applyProtection="1">
      <alignment vertical="center" wrapText="1"/>
      <protection hidden="1"/>
    </xf>
    <xf numFmtId="43" fontId="0" fillId="49" borderId="113" xfId="45" applyFont="1" applyFill="1" applyBorder="1" applyAlignment="1" applyProtection="1">
      <alignment vertical="center" wrapText="1"/>
      <protection hidden="1"/>
    </xf>
    <xf numFmtId="43" fontId="0" fillId="49" borderId="114" xfId="45" applyFont="1" applyFill="1" applyBorder="1" applyAlignment="1" applyProtection="1">
      <alignment vertical="center" wrapText="1"/>
      <protection hidden="1"/>
    </xf>
    <xf numFmtId="43" fontId="0" fillId="49" borderId="115" xfId="45" applyFont="1" applyFill="1" applyBorder="1" applyAlignment="1" applyProtection="1">
      <alignment vertical="center" wrapText="1"/>
      <protection hidden="1"/>
    </xf>
    <xf numFmtId="165" fontId="0" fillId="49" borderId="114" xfId="45" applyNumberFormat="1" applyFont="1" applyFill="1" applyBorder="1" applyAlignment="1" applyProtection="1">
      <alignment vertical="center" wrapText="1"/>
      <protection hidden="1"/>
    </xf>
    <xf numFmtId="43" fontId="0" fillId="49" borderId="114" xfId="45" applyFont="1" applyFill="1" applyBorder="1" applyAlignment="1" applyProtection="1">
      <alignment vertical="center" wrapText="1"/>
      <protection hidden="1"/>
    </xf>
    <xf numFmtId="43" fontId="0" fillId="49" borderId="113" xfId="45" applyFont="1" applyFill="1" applyBorder="1" applyAlignment="1" applyProtection="1">
      <alignment vertical="center" wrapText="1"/>
      <protection hidden="1"/>
    </xf>
    <xf numFmtId="43" fontId="0" fillId="49" borderId="113" xfId="45" applyFont="1" applyFill="1" applyBorder="1" applyAlignment="1" applyProtection="1">
      <alignment vertical="center" wrapText="1"/>
      <protection hidden="1"/>
    </xf>
    <xf numFmtId="43" fontId="0" fillId="49" borderId="118" xfId="45" applyFont="1" applyFill="1" applyBorder="1" applyAlignment="1" applyProtection="1">
      <alignment vertical="center" wrapText="1"/>
      <protection hidden="1"/>
    </xf>
    <xf numFmtId="43" fontId="0" fillId="49" borderId="121" xfId="45" applyFont="1" applyFill="1" applyBorder="1" applyAlignment="1" applyProtection="1">
      <alignment vertical="center" wrapText="1"/>
      <protection hidden="1"/>
    </xf>
    <xf numFmtId="43" fontId="0" fillId="49" borderId="124" xfId="45" applyFont="1" applyFill="1" applyBorder="1" applyAlignment="1" applyProtection="1">
      <alignment vertical="center" wrapText="1"/>
      <protection hidden="1"/>
    </xf>
    <xf numFmtId="43" fontId="0" fillId="49" borderId="119" xfId="45" applyFont="1" applyFill="1" applyBorder="1" applyAlignment="1" applyProtection="1">
      <alignment vertical="center" wrapText="1"/>
      <protection hidden="1"/>
    </xf>
    <xf numFmtId="43" fontId="0" fillId="49" borderId="121" xfId="45" applyFont="1" applyFill="1" applyBorder="1" applyAlignment="1" applyProtection="1">
      <alignment vertical="center" wrapText="1"/>
      <protection hidden="1"/>
    </xf>
    <xf numFmtId="43" fontId="0" fillId="49" borderId="118" xfId="45" applyFont="1" applyFill="1" applyBorder="1" applyAlignment="1" applyProtection="1">
      <alignment vertical="center" wrapText="1"/>
      <protection hidden="1"/>
    </xf>
    <xf numFmtId="43" fontId="0" fillId="50" borderId="113" xfId="45" applyFont="1" applyFill="1" applyBorder="1" applyAlignment="1" applyProtection="1">
      <alignment vertical="center" wrapText="1"/>
      <protection hidden="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_Foglio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224"/>
  <sheetViews>
    <sheetView showGridLines="0" zoomScale="70" zoomScaleNormal="70" zoomScaleSheetLayoutView="70" workbookViewId="0" topLeftCell="A1">
      <pane ySplit="5" topLeftCell="A7" activePane="bottomLeft" state="frozen"/>
      <selection pane="topLeft" activeCell="A1" sqref="A1"/>
      <selection pane="bottomLeft" activeCell="A5" sqref="A5"/>
    </sheetView>
  </sheetViews>
  <sheetFormatPr defaultColWidth="9.140625" defaultRowHeight="12.75"/>
  <cols>
    <col min="1" max="1" width="7.57421875" style="380" customWidth="1"/>
    <col min="2" max="3" width="10.140625" style="380" customWidth="1"/>
    <col min="4" max="4" width="15.28125" style="475" customWidth="1"/>
    <col min="5" max="5" width="63.8515625" style="384" customWidth="1"/>
    <col min="6" max="6" width="16.140625" style="384" customWidth="1"/>
    <col min="7" max="8" width="18.00390625" style="384" customWidth="1"/>
    <col min="9" max="9" width="17.421875" style="384" customWidth="1"/>
    <col min="10" max="10" width="17.7109375" style="664" customWidth="1"/>
    <col min="11" max="13" width="16.140625" style="664" customWidth="1"/>
    <col min="14" max="14" width="16.140625" style="384" customWidth="1"/>
    <col min="15" max="15" width="17.57421875" style="664" customWidth="1"/>
    <col min="16" max="16" width="3.57421875" style="384" customWidth="1"/>
    <col min="17" max="17" width="10.7109375" style="370" customWidth="1"/>
    <col min="18" max="18" width="9.140625" style="384" customWidth="1"/>
    <col min="19" max="19" width="9.8515625" style="384" customWidth="1"/>
    <col min="20" max="16384" width="9.140625" style="384" customWidth="1"/>
  </cols>
  <sheetData>
    <row r="1" spans="1:17" s="364" customFormat="1" ht="33" customHeight="1">
      <c r="A1" s="1246" t="s">
        <v>457</v>
      </c>
      <c r="B1" s="1246"/>
      <c r="C1" s="1246"/>
      <c r="D1" s="1246"/>
      <c r="E1" s="1246"/>
      <c r="F1" s="1246"/>
      <c r="G1" s="1246"/>
      <c r="H1" s="1246"/>
      <c r="I1" s="1246"/>
      <c r="J1" s="1246"/>
      <c r="K1" s="648"/>
      <c r="L1" s="648"/>
      <c r="M1" s="648"/>
      <c r="O1" s="648"/>
      <c r="Q1" s="365"/>
    </row>
    <row r="2" spans="1:17" s="366" customFormat="1" ht="28.5" customHeight="1">
      <c r="A2" s="1247" t="s">
        <v>991</v>
      </c>
      <c r="B2" s="1247"/>
      <c r="C2" s="1247"/>
      <c r="D2" s="1247"/>
      <c r="E2" s="1247"/>
      <c r="F2" s="1247"/>
      <c r="G2" s="1247"/>
      <c r="H2" s="1247"/>
      <c r="I2" s="1247"/>
      <c r="J2" s="1247"/>
      <c r="K2" s="649"/>
      <c r="L2" s="649"/>
      <c r="M2" s="649"/>
      <c r="O2" s="649"/>
      <c r="Q2" s="367"/>
    </row>
    <row r="3" spans="1:17" s="369" customFormat="1" ht="17.25" customHeight="1" thickBot="1">
      <c r="A3" s="1248" t="s">
        <v>145</v>
      </c>
      <c r="B3" s="1248"/>
      <c r="C3" s="1248"/>
      <c r="D3" s="368"/>
      <c r="E3" s="368"/>
      <c r="F3" s="368"/>
      <c r="G3" s="368"/>
      <c r="H3" s="368"/>
      <c r="I3" s="368"/>
      <c r="J3" s="700"/>
      <c r="K3" s="650"/>
      <c r="L3" s="650"/>
      <c r="M3" s="650"/>
      <c r="O3" s="650"/>
      <c r="Q3" s="370"/>
    </row>
    <row r="4" spans="1:17" s="371" customFormat="1" ht="30" customHeight="1" thickBot="1">
      <c r="A4" s="1242" t="s">
        <v>14</v>
      </c>
      <c r="B4" s="1243"/>
      <c r="C4" s="1243"/>
      <c r="D4" s="1243"/>
      <c r="E4" s="1243"/>
      <c r="F4" s="1243"/>
      <c r="G4" s="1243"/>
      <c r="H4" s="1243"/>
      <c r="I4" s="1243"/>
      <c r="J4" s="1243"/>
      <c r="K4" s="1243"/>
      <c r="L4" s="1243"/>
      <c r="M4" s="1243"/>
      <c r="N4" s="1243"/>
      <c r="O4" s="651" t="s">
        <v>208</v>
      </c>
      <c r="Q4" s="372"/>
    </row>
    <row r="5" spans="1:17" s="380" customFormat="1" ht="69.75" customHeight="1">
      <c r="A5" s="373" t="s">
        <v>9</v>
      </c>
      <c r="B5" s="374" t="s">
        <v>10</v>
      </c>
      <c r="C5" s="374" t="s">
        <v>456</v>
      </c>
      <c r="D5" s="375" t="s">
        <v>431</v>
      </c>
      <c r="E5" s="374" t="s">
        <v>133</v>
      </c>
      <c r="F5" s="375" t="s">
        <v>1153</v>
      </c>
      <c r="G5" s="375" t="s">
        <v>1111</v>
      </c>
      <c r="H5" s="1206" t="s">
        <v>1155</v>
      </c>
      <c r="I5" s="1224" t="s">
        <v>1144</v>
      </c>
      <c r="J5" s="1224" t="s">
        <v>1154</v>
      </c>
      <c r="K5" s="573" t="s">
        <v>687</v>
      </c>
      <c r="L5" s="1227" t="s">
        <v>1145</v>
      </c>
      <c r="M5" s="701" t="s">
        <v>912</v>
      </c>
      <c r="N5" s="377" t="s">
        <v>992</v>
      </c>
      <c r="O5" s="697" t="s">
        <v>993</v>
      </c>
      <c r="P5" s="378"/>
      <c r="Q5" s="379" t="s">
        <v>994</v>
      </c>
    </row>
    <row r="6" spans="1:17" ht="30" customHeight="1" hidden="1">
      <c r="A6" s="386">
        <v>1</v>
      </c>
      <c r="B6" s="1087" t="s">
        <v>8</v>
      </c>
      <c r="C6" s="1090">
        <v>12</v>
      </c>
      <c r="D6" s="387" t="s">
        <v>441</v>
      </c>
      <c r="E6" s="311" t="s">
        <v>429</v>
      </c>
      <c r="F6" s="704"/>
      <c r="G6" s="709"/>
      <c r="H6" s="709"/>
      <c r="I6" s="709"/>
      <c r="J6" s="709"/>
      <c r="K6" s="1196"/>
      <c r="L6" s="1196"/>
      <c r="M6" s="1196"/>
      <c r="N6" s="1196"/>
      <c r="O6" s="616"/>
      <c r="Q6" s="385">
        <f aca="true" t="shared" si="0" ref="Q6:Q18">IF(O6&gt;(F6+K6),"ERRORE","")</f>
      </c>
    </row>
    <row r="7" spans="1:17" s="664" customFormat="1" ht="30" customHeight="1">
      <c r="A7" s="761">
        <v>1</v>
      </c>
      <c r="B7" s="1088" t="s">
        <v>8</v>
      </c>
      <c r="C7" s="1091">
        <v>13</v>
      </c>
      <c r="D7" s="1020" t="s">
        <v>631</v>
      </c>
      <c r="E7" s="830" t="s">
        <v>663</v>
      </c>
      <c r="F7" s="704">
        <v>16272.72</v>
      </c>
      <c r="G7" s="704">
        <v>8000</v>
      </c>
      <c r="H7" s="704">
        <v>15000</v>
      </c>
      <c r="I7" s="704">
        <f>H7-J7</f>
        <v>7000</v>
      </c>
      <c r="J7" s="709">
        <v>8000</v>
      </c>
      <c r="K7" s="709">
        <v>8000</v>
      </c>
      <c r="L7" s="709">
        <f aca="true" t="shared" si="1" ref="L7:L12">K7-G7</f>
        <v>0</v>
      </c>
      <c r="M7" s="709">
        <v>8000</v>
      </c>
      <c r="N7" s="709">
        <v>8000</v>
      </c>
      <c r="O7" s="990">
        <f aca="true" t="shared" si="2" ref="O7:O13">F7+K7</f>
        <v>24272.72</v>
      </c>
      <c r="Q7" s="1010">
        <f t="shared" si="0"/>
      </c>
    </row>
    <row r="8" spans="1:17" s="664" customFormat="1" ht="30" customHeight="1">
      <c r="A8" s="761">
        <v>1</v>
      </c>
      <c r="B8" s="1088" t="s">
        <v>8</v>
      </c>
      <c r="C8" s="1091">
        <v>15</v>
      </c>
      <c r="D8" s="1020" t="s">
        <v>438</v>
      </c>
      <c r="E8" s="830" t="s">
        <v>660</v>
      </c>
      <c r="F8" s="704">
        <v>76553.37</v>
      </c>
      <c r="G8" s="704">
        <v>50000</v>
      </c>
      <c r="H8" s="704">
        <v>47032.75</v>
      </c>
      <c r="I8" s="704">
        <f aca="true" t="shared" si="3" ref="I8:I13">H8-J8</f>
        <v>-8218.25</v>
      </c>
      <c r="J8" s="709">
        <v>55251</v>
      </c>
      <c r="K8" s="709">
        <v>40000</v>
      </c>
      <c r="L8" s="709">
        <f t="shared" si="1"/>
        <v>-10000</v>
      </c>
      <c r="M8" s="709">
        <v>40000</v>
      </c>
      <c r="N8" s="709">
        <v>23498</v>
      </c>
      <c r="O8" s="990">
        <f t="shared" si="2"/>
        <v>116553.37</v>
      </c>
      <c r="Q8" s="1010">
        <f t="shared" si="0"/>
      </c>
    </row>
    <row r="9" spans="1:17" s="664" customFormat="1" ht="30" customHeight="1">
      <c r="A9" s="756">
        <v>1</v>
      </c>
      <c r="B9" s="1089">
        <v>101</v>
      </c>
      <c r="C9" s="1092">
        <v>16</v>
      </c>
      <c r="D9" s="1472" t="s">
        <v>439</v>
      </c>
      <c r="E9" s="1019" t="s">
        <v>136</v>
      </c>
      <c r="F9" s="713"/>
      <c r="G9" s="713">
        <v>685000</v>
      </c>
      <c r="H9" s="713">
        <v>663936.45</v>
      </c>
      <c r="I9" s="704">
        <f t="shared" si="3"/>
        <v>-28085.46000000008</v>
      </c>
      <c r="J9" s="1003">
        <v>692021.91</v>
      </c>
      <c r="K9" s="1003">
        <f>740000+5000</f>
        <v>745000</v>
      </c>
      <c r="L9" s="709">
        <f t="shared" si="1"/>
        <v>60000</v>
      </c>
      <c r="M9" s="1003">
        <f>745000+5000</f>
        <v>750000</v>
      </c>
      <c r="N9" s="1003">
        <v>745000</v>
      </c>
      <c r="O9" s="990">
        <f t="shared" si="2"/>
        <v>745000</v>
      </c>
      <c r="Q9" s="1010">
        <f t="shared" si="0"/>
      </c>
    </row>
    <row r="10" spans="1:17" s="1014" customFormat="1" ht="30" customHeight="1">
      <c r="A10" s="761">
        <v>1</v>
      </c>
      <c r="B10" s="1088" t="s">
        <v>8</v>
      </c>
      <c r="C10" s="1091">
        <v>20</v>
      </c>
      <c r="D10" s="1020" t="s">
        <v>440</v>
      </c>
      <c r="E10" s="830" t="s">
        <v>137</v>
      </c>
      <c r="F10" s="704"/>
      <c r="G10" s="704">
        <v>260000</v>
      </c>
      <c r="H10" s="704">
        <v>245414.18</v>
      </c>
      <c r="I10" s="704">
        <f t="shared" si="3"/>
        <v>-25035.820000000007</v>
      </c>
      <c r="J10" s="709">
        <v>270450</v>
      </c>
      <c r="K10" s="709">
        <f>330000+5584-10000</f>
        <v>325584</v>
      </c>
      <c r="L10" s="709">
        <f t="shared" si="1"/>
        <v>65584</v>
      </c>
      <c r="M10" s="709">
        <f>330000+12114-10000</f>
        <v>332114</v>
      </c>
      <c r="N10" s="709">
        <f>342114-10000</f>
        <v>332114</v>
      </c>
      <c r="O10" s="990">
        <f t="shared" si="2"/>
        <v>325584</v>
      </c>
      <c r="Q10" s="1015">
        <f t="shared" si="0"/>
      </c>
    </row>
    <row r="11" spans="1:17" s="664" customFormat="1" ht="30" customHeight="1">
      <c r="A11" s="761">
        <v>1</v>
      </c>
      <c r="B11" s="1088" t="s">
        <v>8</v>
      </c>
      <c r="C11" s="1091">
        <v>30</v>
      </c>
      <c r="D11" s="1020" t="s">
        <v>93</v>
      </c>
      <c r="E11" s="1021" t="s">
        <v>147</v>
      </c>
      <c r="F11" s="704">
        <v>2250</v>
      </c>
      <c r="G11" s="704"/>
      <c r="H11" s="704">
        <v>0</v>
      </c>
      <c r="I11" s="704">
        <f t="shared" si="3"/>
        <v>0</v>
      </c>
      <c r="J11" s="709"/>
      <c r="K11" s="709"/>
      <c r="L11" s="709">
        <f t="shared" si="1"/>
        <v>0</v>
      </c>
      <c r="M11" s="709"/>
      <c r="N11" s="709"/>
      <c r="O11" s="990">
        <f t="shared" si="2"/>
        <v>2250</v>
      </c>
      <c r="Q11" s="1010">
        <f t="shared" si="0"/>
      </c>
    </row>
    <row r="12" spans="1:17" s="664" customFormat="1" ht="30" customHeight="1">
      <c r="A12" s="761">
        <v>1</v>
      </c>
      <c r="B12" s="1088" t="s">
        <v>8</v>
      </c>
      <c r="C12" s="1091">
        <v>71</v>
      </c>
      <c r="D12" s="1020" t="s">
        <v>441</v>
      </c>
      <c r="E12" s="830" t="s">
        <v>662</v>
      </c>
      <c r="F12" s="704">
        <v>109433.34</v>
      </c>
      <c r="G12" s="704">
        <v>30000</v>
      </c>
      <c r="H12" s="704">
        <v>25000</v>
      </c>
      <c r="I12" s="704">
        <f t="shared" si="3"/>
        <v>-7714</v>
      </c>
      <c r="J12" s="709">
        <v>32714</v>
      </c>
      <c r="K12" s="709">
        <v>15000</v>
      </c>
      <c r="L12" s="709">
        <f t="shared" si="1"/>
        <v>-15000</v>
      </c>
      <c r="M12" s="709">
        <v>15000</v>
      </c>
      <c r="N12" s="709">
        <v>15000</v>
      </c>
      <c r="O12" s="990">
        <f t="shared" si="2"/>
        <v>124433.34</v>
      </c>
      <c r="Q12" s="1010">
        <f t="shared" si="0"/>
      </c>
    </row>
    <row r="13" spans="1:17" s="664" customFormat="1" ht="30" customHeight="1" thickBot="1">
      <c r="A13" s="761">
        <v>1</v>
      </c>
      <c r="B13" s="1088" t="s">
        <v>8</v>
      </c>
      <c r="C13" s="1091">
        <v>76</v>
      </c>
      <c r="D13" s="1020" t="s">
        <v>441</v>
      </c>
      <c r="E13" s="830" t="s">
        <v>661</v>
      </c>
      <c r="F13" s="704">
        <v>60291.63</v>
      </c>
      <c r="G13" s="704"/>
      <c r="H13" s="704"/>
      <c r="I13" s="704">
        <f t="shared" si="3"/>
        <v>0</v>
      </c>
      <c r="J13" s="709"/>
      <c r="K13" s="709"/>
      <c r="L13" s="709"/>
      <c r="M13" s="709"/>
      <c r="N13" s="709"/>
      <c r="O13" s="990">
        <f t="shared" si="2"/>
        <v>60291.63</v>
      </c>
      <c r="Q13" s="1010">
        <f t="shared" si="0"/>
      </c>
    </row>
    <row r="14" spans="1:17" s="664" customFormat="1" ht="30" customHeight="1" thickBot="1">
      <c r="A14" s="1239" t="s">
        <v>587</v>
      </c>
      <c r="B14" s="1240"/>
      <c r="C14" s="1240"/>
      <c r="D14" s="1240"/>
      <c r="E14" s="1241"/>
      <c r="F14" s="705">
        <f aca="true" t="shared" si="4" ref="F14:O14">SUM(F6:F13)</f>
        <v>264801.06</v>
      </c>
      <c r="G14" s="705">
        <f t="shared" si="4"/>
        <v>1033000</v>
      </c>
      <c r="H14" s="705">
        <f t="shared" si="4"/>
        <v>996383.3799999999</v>
      </c>
      <c r="I14" s="705">
        <f t="shared" si="4"/>
        <v>-62053.530000000086</v>
      </c>
      <c r="J14" s="705">
        <f t="shared" si="4"/>
        <v>1058436.9100000001</v>
      </c>
      <c r="K14" s="705">
        <f t="shared" si="4"/>
        <v>1133584</v>
      </c>
      <c r="L14" s="705">
        <f t="shared" si="4"/>
        <v>100584</v>
      </c>
      <c r="M14" s="705">
        <f t="shared" si="4"/>
        <v>1145114</v>
      </c>
      <c r="N14" s="705">
        <f t="shared" si="4"/>
        <v>1123612</v>
      </c>
      <c r="O14" s="654">
        <f t="shared" si="4"/>
        <v>1398385.0599999998</v>
      </c>
      <c r="Q14" s="1010">
        <f t="shared" si="0"/>
      </c>
    </row>
    <row r="15" spans="1:17" s="664" customFormat="1" ht="30" customHeight="1">
      <c r="A15" s="761">
        <v>1</v>
      </c>
      <c r="B15" s="1088" t="s">
        <v>16</v>
      </c>
      <c r="C15" s="1091">
        <v>80</v>
      </c>
      <c r="D15" s="1020" t="s">
        <v>432</v>
      </c>
      <c r="E15" s="830" t="s">
        <v>1050</v>
      </c>
      <c r="F15" s="704">
        <v>178054.89</v>
      </c>
      <c r="G15" s="704">
        <v>490000</v>
      </c>
      <c r="H15" s="704">
        <v>453465.91</v>
      </c>
      <c r="I15" s="704">
        <f>H15-J15</f>
        <v>-11182.650000000023</v>
      </c>
      <c r="J15" s="709">
        <v>464648.56</v>
      </c>
      <c r="K15" s="704">
        <v>443000</v>
      </c>
      <c r="L15" s="704">
        <f>K15-G15</f>
        <v>-47000</v>
      </c>
      <c r="M15" s="709">
        <v>443000</v>
      </c>
      <c r="N15" s="709">
        <v>443000</v>
      </c>
      <c r="O15" s="991">
        <f>F15+K15</f>
        <v>621054.89</v>
      </c>
      <c r="Q15" s="1010">
        <f t="shared" si="0"/>
      </c>
    </row>
    <row r="16" spans="1:17" s="664" customFormat="1" ht="60.75" customHeight="1" thickBot="1">
      <c r="A16" s="761">
        <v>1</v>
      </c>
      <c r="B16" s="1088" t="s">
        <v>16</v>
      </c>
      <c r="C16" s="1091">
        <v>81</v>
      </c>
      <c r="D16" s="1020" t="s">
        <v>432</v>
      </c>
      <c r="E16" s="830" t="s">
        <v>1114</v>
      </c>
      <c r="F16" s="704"/>
      <c r="G16" s="704">
        <v>0</v>
      </c>
      <c r="H16" s="704"/>
      <c r="I16" s="704"/>
      <c r="J16" s="709">
        <v>0</v>
      </c>
      <c r="K16" s="704">
        <f>10951+7674+3474</f>
        <v>22099</v>
      </c>
      <c r="L16" s="704">
        <f>K16-G16</f>
        <v>22099</v>
      </c>
      <c r="M16" s="704">
        <f>10951+7674+3474</f>
        <v>22099</v>
      </c>
      <c r="N16" s="704">
        <f>10951+7674+3474</f>
        <v>22099</v>
      </c>
      <c r="O16" s="991">
        <f>F16+K16</f>
        <v>22099</v>
      </c>
      <c r="Q16" s="1010">
        <f t="shared" si="0"/>
      </c>
    </row>
    <row r="17" spans="1:17" s="664" customFormat="1" ht="30" customHeight="1" thickBot="1">
      <c r="A17" s="1239" t="s">
        <v>588</v>
      </c>
      <c r="B17" s="1240"/>
      <c r="C17" s="1240"/>
      <c r="D17" s="1240"/>
      <c r="E17" s="1241"/>
      <c r="F17" s="705">
        <f>SUM(F15:F15)</f>
        <v>178054.89</v>
      </c>
      <c r="G17" s="705">
        <f>SUM(G15:G15)</f>
        <v>490000</v>
      </c>
      <c r="H17" s="705">
        <f>SUM(H15:H15)</f>
        <v>453465.91</v>
      </c>
      <c r="I17" s="705">
        <f>SUM(I15:I15)</f>
        <v>-11182.650000000023</v>
      </c>
      <c r="J17" s="705">
        <f aca="true" t="shared" si="5" ref="J17:O17">SUM(J15:J16)</f>
        <v>464648.56</v>
      </c>
      <c r="K17" s="705">
        <f t="shared" si="5"/>
        <v>465099</v>
      </c>
      <c r="L17" s="705">
        <f t="shared" si="5"/>
        <v>-24901</v>
      </c>
      <c r="M17" s="705">
        <f t="shared" si="5"/>
        <v>465099</v>
      </c>
      <c r="N17" s="705">
        <f t="shared" si="5"/>
        <v>465099</v>
      </c>
      <c r="O17" s="654">
        <f t="shared" si="5"/>
        <v>643153.89</v>
      </c>
      <c r="Q17" s="1010">
        <f t="shared" si="0"/>
      </c>
    </row>
    <row r="18" spans="1:17" s="395" customFormat="1" ht="30" customHeight="1" thickBot="1">
      <c r="A18" s="1244" t="s">
        <v>13</v>
      </c>
      <c r="B18" s="1245"/>
      <c r="C18" s="1245"/>
      <c r="D18" s="1245"/>
      <c r="E18" s="1245"/>
      <c r="F18" s="818">
        <f aca="true" t="shared" si="6" ref="F18:O18">F14+F17</f>
        <v>442855.95</v>
      </c>
      <c r="G18" s="818">
        <f t="shared" si="6"/>
        <v>1523000</v>
      </c>
      <c r="H18" s="818">
        <f t="shared" si="6"/>
        <v>1449849.2899999998</v>
      </c>
      <c r="I18" s="818">
        <f t="shared" si="6"/>
        <v>-73236.18000000011</v>
      </c>
      <c r="J18" s="818">
        <f t="shared" si="6"/>
        <v>1523085.4700000002</v>
      </c>
      <c r="K18" s="818">
        <f t="shared" si="6"/>
        <v>1598683</v>
      </c>
      <c r="L18" s="818">
        <f t="shared" si="6"/>
        <v>75683</v>
      </c>
      <c r="M18" s="818">
        <f t="shared" si="6"/>
        <v>1610213</v>
      </c>
      <c r="N18" s="818">
        <f t="shared" si="6"/>
        <v>1588711</v>
      </c>
      <c r="O18" s="820">
        <f t="shared" si="6"/>
        <v>2041538.9499999997</v>
      </c>
      <c r="Q18" s="1044">
        <f t="shared" si="0"/>
      </c>
    </row>
    <row r="19" spans="1:17" s="395" customFormat="1" ht="30" customHeight="1" thickBot="1">
      <c r="A19" s="1242" t="s">
        <v>12</v>
      </c>
      <c r="B19" s="1243"/>
      <c r="C19" s="1243"/>
      <c r="D19" s="1243"/>
      <c r="E19" s="1243"/>
      <c r="F19" s="1243"/>
      <c r="G19" s="1243"/>
      <c r="H19" s="1243"/>
      <c r="I19" s="1243"/>
      <c r="J19" s="1243"/>
      <c r="K19" s="1243"/>
      <c r="L19" s="1243"/>
      <c r="M19" s="1243"/>
      <c r="N19" s="1243"/>
      <c r="O19" s="1243"/>
      <c r="Q19" s="370"/>
    </row>
    <row r="20" spans="1:17" s="397" customFormat="1" ht="69" customHeight="1">
      <c r="A20" s="373" t="str">
        <f>A5</f>
        <v>Titolo</v>
      </c>
      <c r="B20" s="374" t="str">
        <f>B5</f>
        <v>Tipologia</v>
      </c>
      <c r="C20" s="374" t="str">
        <f>C5</f>
        <v>Capitolo</v>
      </c>
      <c r="D20" s="375" t="s">
        <v>431</v>
      </c>
      <c r="E20" s="374" t="str">
        <f aca="true" t="shared" si="7" ref="E20:O20">E5</f>
        <v>DESCRIZIONE</v>
      </c>
      <c r="F20" s="374" t="str">
        <f t="shared" si="7"/>
        <v>RESIDUI PRESUNTI AL 17.01.2023</v>
      </c>
      <c r="G20" s="374" t="str">
        <f t="shared" si="7"/>
        <v>PREVISIONE INIZIALE 2022</v>
      </c>
      <c r="H20" s="1225" t="str">
        <f>H5</f>
        <v>ACCERTAMENTI AL 17.01.2023</v>
      </c>
      <c r="I20" s="1225" t="str">
        <f t="shared" si="7"/>
        <v>DIFFERENZA TRA ACCERTATO E ASSESTATO</v>
      </c>
      <c r="J20" s="1225" t="str">
        <f t="shared" si="7"/>
        <v>PREVISIONE 2022 ASSESTATA AL 17.01.2023</v>
      </c>
      <c r="K20" s="591" t="str">
        <f t="shared" si="7"/>
        <v>PREVISIONE 2023</v>
      </c>
      <c r="L20" s="1228" t="str">
        <f t="shared" si="7"/>
        <v>DIFFERENZE TRA PREVISIONI 2023 E PREVISIONI INIZIALI 2022</v>
      </c>
      <c r="M20" s="706" t="str">
        <f t="shared" si="7"/>
        <v>PREVISIONE 2024</v>
      </c>
      <c r="N20" s="396" t="str">
        <f t="shared" si="7"/>
        <v>PREVISIONE 2025</v>
      </c>
      <c r="O20" s="652" t="str">
        <f t="shared" si="7"/>
        <v>PREVISIONE DI CASSA 2023</v>
      </c>
      <c r="Q20" s="370"/>
    </row>
    <row r="21" spans="1:17" ht="30" customHeight="1">
      <c r="A21" s="381">
        <v>2</v>
      </c>
      <c r="B21" s="1093" t="s">
        <v>8</v>
      </c>
      <c r="C21" s="1092">
        <v>128</v>
      </c>
      <c r="D21" s="398" t="s">
        <v>442</v>
      </c>
      <c r="E21" s="399" t="s">
        <v>1047</v>
      </c>
      <c r="F21" s="713"/>
      <c r="G21" s="713">
        <v>0</v>
      </c>
      <c r="H21" s="713"/>
      <c r="I21" s="713"/>
      <c r="J21" s="707"/>
      <c r="K21" s="708">
        <v>14724</v>
      </c>
      <c r="L21" s="708">
        <f>K21-G21</f>
        <v>14724</v>
      </c>
      <c r="M21" s="707">
        <v>21595</v>
      </c>
      <c r="N21" s="707">
        <v>21595</v>
      </c>
      <c r="O21" s="653">
        <f>F21+K21</f>
        <v>14724</v>
      </c>
      <c r="Q21" s="1044">
        <f>IF(O21&gt;(F21+K21),"ERRORE","")</f>
      </c>
    </row>
    <row r="22" spans="1:17" ht="30" customHeight="1">
      <c r="A22" s="381">
        <v>2</v>
      </c>
      <c r="B22" s="1093" t="s">
        <v>8</v>
      </c>
      <c r="C22" s="1094">
        <v>129</v>
      </c>
      <c r="D22" s="398" t="s">
        <v>442</v>
      </c>
      <c r="E22" s="399" t="s">
        <v>1118</v>
      </c>
      <c r="F22" s="713"/>
      <c r="G22" s="713"/>
      <c r="H22" s="713"/>
      <c r="I22" s="713"/>
      <c r="J22" s="702"/>
      <c r="K22" s="703"/>
      <c r="L22" s="703"/>
      <c r="M22" s="702"/>
      <c r="N22" s="702"/>
      <c r="O22" s="653">
        <f>F22+K22</f>
        <v>0</v>
      </c>
      <c r="Q22" s="1044">
        <f>IF(O22&gt;(F22+K22),"ERRORE","")</f>
      </c>
    </row>
    <row r="23" spans="1:17" s="664" customFormat="1" ht="30" customHeight="1">
      <c r="A23" s="756">
        <v>2</v>
      </c>
      <c r="B23" s="1089" t="s">
        <v>8</v>
      </c>
      <c r="C23" s="1092">
        <v>130</v>
      </c>
      <c r="D23" s="1017" t="s">
        <v>442</v>
      </c>
      <c r="E23" s="1018" t="s">
        <v>458</v>
      </c>
      <c r="F23" s="713">
        <v>44996.6</v>
      </c>
      <c r="G23" s="713">
        <v>48000</v>
      </c>
      <c r="H23" s="713">
        <v>114865.43</v>
      </c>
      <c r="I23" s="713">
        <f>H23-J23</f>
        <v>14188.279999999999</v>
      </c>
      <c r="J23" s="702">
        <v>100677.15</v>
      </c>
      <c r="K23" s="703">
        <v>62859</v>
      </c>
      <c r="L23" s="703">
        <f>K23-G23</f>
        <v>14859</v>
      </c>
      <c r="M23" s="703">
        <v>59859</v>
      </c>
      <c r="N23" s="703">
        <v>59859</v>
      </c>
      <c r="O23" s="653">
        <f>F23+K23</f>
        <v>107855.6</v>
      </c>
      <c r="Q23" s="1010">
        <f>IF(O23&gt;(F23+K23),"ERRORE","")</f>
      </c>
    </row>
    <row r="24" spans="1:17" ht="30" customHeight="1">
      <c r="A24" s="381">
        <v>2</v>
      </c>
      <c r="B24" s="1093" t="s">
        <v>8</v>
      </c>
      <c r="C24" s="1094">
        <v>131</v>
      </c>
      <c r="D24" s="398" t="s">
        <v>817</v>
      </c>
      <c r="E24" s="399" t="s">
        <v>838</v>
      </c>
      <c r="F24" s="713"/>
      <c r="G24" s="713"/>
      <c r="H24" s="713"/>
      <c r="I24" s="713"/>
      <c r="J24" s="702"/>
      <c r="K24" s="703"/>
      <c r="L24" s="703">
        <f aca="true" t="shared" si="8" ref="L24:L63">K24-G24</f>
        <v>0</v>
      </c>
      <c r="M24" s="702"/>
      <c r="N24" s="702"/>
      <c r="O24" s="653">
        <f>F24+K24</f>
        <v>0</v>
      </c>
      <c r="Q24" s="385">
        <f>IF(O24&gt;(F24+K24),"ERRORE","")</f>
      </c>
    </row>
    <row r="25" spans="1:17" ht="30" customHeight="1">
      <c r="A25" s="381">
        <v>2</v>
      </c>
      <c r="B25" s="1093" t="s">
        <v>8</v>
      </c>
      <c r="C25" s="1094">
        <v>132</v>
      </c>
      <c r="D25" s="398" t="s">
        <v>817</v>
      </c>
      <c r="E25" s="399" t="s">
        <v>818</v>
      </c>
      <c r="F25" s="713"/>
      <c r="G25" s="713"/>
      <c r="H25" s="713"/>
      <c r="I25" s="713"/>
      <c r="J25" s="702"/>
      <c r="K25" s="703"/>
      <c r="L25" s="703">
        <f t="shared" si="8"/>
        <v>0</v>
      </c>
      <c r="M25" s="702"/>
      <c r="N25" s="702"/>
      <c r="O25" s="653">
        <f>F25+K25</f>
        <v>0</v>
      </c>
      <c r="Q25" s="385">
        <f>IF(O25&gt;(F25+K25),"ERRORE","")</f>
      </c>
    </row>
    <row r="26" spans="1:17" ht="30" customHeight="1">
      <c r="A26" s="381">
        <v>2</v>
      </c>
      <c r="B26" s="1093" t="s">
        <v>905</v>
      </c>
      <c r="C26" s="1094">
        <v>133</v>
      </c>
      <c r="D26" s="398" t="s">
        <v>817</v>
      </c>
      <c r="E26" s="399" t="s">
        <v>1049</v>
      </c>
      <c r="F26" s="713"/>
      <c r="G26" s="713"/>
      <c r="H26" s="713"/>
      <c r="I26" s="713"/>
      <c r="J26" s="702"/>
      <c r="K26" s="703"/>
      <c r="L26" s="703">
        <f t="shared" si="8"/>
        <v>0</v>
      </c>
      <c r="M26" s="702"/>
      <c r="N26" s="702"/>
      <c r="O26" s="653"/>
      <c r="Q26" s="385"/>
    </row>
    <row r="27" spans="1:17" ht="30" customHeight="1">
      <c r="A27" s="381">
        <v>2</v>
      </c>
      <c r="B27" s="1093" t="s">
        <v>8</v>
      </c>
      <c r="C27" s="1094" t="s">
        <v>856</v>
      </c>
      <c r="D27" s="398" t="s">
        <v>817</v>
      </c>
      <c r="E27" s="399" t="s">
        <v>857</v>
      </c>
      <c r="F27" s="713"/>
      <c r="G27" s="713"/>
      <c r="H27" s="713"/>
      <c r="I27" s="713"/>
      <c r="J27" s="702"/>
      <c r="K27" s="703"/>
      <c r="L27" s="703">
        <f t="shared" si="8"/>
        <v>0</v>
      </c>
      <c r="M27" s="702"/>
      <c r="N27" s="702"/>
      <c r="O27" s="653">
        <f aca="true" t="shared" si="9" ref="O27:O45">F27+K27</f>
        <v>0</v>
      </c>
      <c r="Q27" s="385">
        <f aca="true" t="shared" si="10" ref="Q27:Q45">IF(O27&gt;(F27+K27),"ERRORE","")</f>
      </c>
    </row>
    <row r="28" spans="1:17" ht="30" customHeight="1">
      <c r="A28" s="381">
        <v>2</v>
      </c>
      <c r="B28" s="1093" t="s">
        <v>8</v>
      </c>
      <c r="C28" s="1094" t="s">
        <v>858</v>
      </c>
      <c r="D28" s="398" t="s">
        <v>817</v>
      </c>
      <c r="E28" s="399" t="s">
        <v>859</v>
      </c>
      <c r="F28" s="713"/>
      <c r="G28" s="713"/>
      <c r="H28" s="713"/>
      <c r="I28" s="713"/>
      <c r="J28" s="702"/>
      <c r="K28" s="703"/>
      <c r="L28" s="703">
        <f t="shared" si="8"/>
        <v>0</v>
      </c>
      <c r="M28" s="702"/>
      <c r="N28" s="702"/>
      <c r="O28" s="653">
        <f t="shared" si="9"/>
        <v>0</v>
      </c>
      <c r="Q28" s="385">
        <f t="shared" si="10"/>
      </c>
    </row>
    <row r="29" spans="1:17" ht="30" customHeight="1">
      <c r="A29" s="381">
        <v>2</v>
      </c>
      <c r="B29" s="1093" t="s">
        <v>8</v>
      </c>
      <c r="C29" s="1094" t="s">
        <v>927</v>
      </c>
      <c r="D29" s="398" t="s">
        <v>817</v>
      </c>
      <c r="E29" s="399" t="s">
        <v>860</v>
      </c>
      <c r="F29" s="713"/>
      <c r="G29" s="713"/>
      <c r="H29" s="713"/>
      <c r="I29" s="713"/>
      <c r="J29" s="702"/>
      <c r="K29" s="703"/>
      <c r="L29" s="703">
        <f t="shared" si="8"/>
        <v>0</v>
      </c>
      <c r="M29" s="702"/>
      <c r="N29" s="702"/>
      <c r="O29" s="653">
        <f t="shared" si="9"/>
        <v>0</v>
      </c>
      <c r="Q29" s="385">
        <f t="shared" si="10"/>
      </c>
    </row>
    <row r="30" spans="1:17" ht="38.25" customHeight="1">
      <c r="A30" s="381">
        <v>2</v>
      </c>
      <c r="B30" s="1093" t="s">
        <v>8</v>
      </c>
      <c r="C30" s="1094" t="s">
        <v>928</v>
      </c>
      <c r="D30" s="398" t="s">
        <v>817</v>
      </c>
      <c r="E30" s="399" t="s">
        <v>929</v>
      </c>
      <c r="F30" s="713"/>
      <c r="G30" s="713"/>
      <c r="H30" s="713"/>
      <c r="I30" s="713"/>
      <c r="J30" s="702"/>
      <c r="K30" s="703"/>
      <c r="L30" s="703">
        <f t="shared" si="8"/>
        <v>0</v>
      </c>
      <c r="M30" s="702"/>
      <c r="N30" s="702"/>
      <c r="O30" s="653">
        <f t="shared" si="9"/>
        <v>0</v>
      </c>
      <c r="Q30" s="385">
        <f t="shared" si="10"/>
      </c>
    </row>
    <row r="31" spans="1:17" ht="30" customHeight="1">
      <c r="A31" s="381">
        <v>2</v>
      </c>
      <c r="B31" s="1093" t="s">
        <v>8</v>
      </c>
      <c r="C31" s="1094" t="s">
        <v>930</v>
      </c>
      <c r="D31" s="398" t="s">
        <v>817</v>
      </c>
      <c r="E31" s="399" t="s">
        <v>931</v>
      </c>
      <c r="F31" s="713"/>
      <c r="G31" s="713"/>
      <c r="H31" s="713"/>
      <c r="I31" s="713"/>
      <c r="J31" s="702"/>
      <c r="K31" s="703"/>
      <c r="L31" s="703">
        <f t="shared" si="8"/>
        <v>0</v>
      </c>
      <c r="M31" s="702"/>
      <c r="N31" s="702"/>
      <c r="O31" s="653">
        <f t="shared" si="9"/>
        <v>0</v>
      </c>
      <c r="Q31" s="385">
        <f t="shared" si="10"/>
      </c>
    </row>
    <row r="32" spans="1:17" ht="30" customHeight="1">
      <c r="A32" s="381">
        <v>2</v>
      </c>
      <c r="B32" s="1093" t="s">
        <v>8</v>
      </c>
      <c r="C32" s="1094">
        <v>134</v>
      </c>
      <c r="D32" s="398" t="s">
        <v>817</v>
      </c>
      <c r="E32" s="399" t="s">
        <v>1117</v>
      </c>
      <c r="F32" s="713">
        <v>3567.09</v>
      </c>
      <c r="G32" s="713"/>
      <c r="H32" s="713">
        <v>3567.09</v>
      </c>
      <c r="I32" s="713">
        <f>H32-J32</f>
        <v>-540</v>
      </c>
      <c r="J32" s="702">
        <v>4107.09</v>
      </c>
      <c r="K32" s="703"/>
      <c r="L32" s="703">
        <f t="shared" si="8"/>
        <v>0</v>
      </c>
      <c r="M32" s="702"/>
      <c r="N32" s="702"/>
      <c r="O32" s="653">
        <f t="shared" si="9"/>
        <v>3567.09</v>
      </c>
      <c r="Q32" s="385">
        <f t="shared" si="10"/>
      </c>
    </row>
    <row r="33" spans="1:17" ht="30" customHeight="1">
      <c r="A33" s="381">
        <v>2</v>
      </c>
      <c r="B33" s="1093" t="s">
        <v>8</v>
      </c>
      <c r="C33" s="1094">
        <v>135</v>
      </c>
      <c r="D33" s="398" t="s">
        <v>817</v>
      </c>
      <c r="E33" s="399" t="s">
        <v>932</v>
      </c>
      <c r="F33" s="713"/>
      <c r="G33" s="713"/>
      <c r="H33" s="713"/>
      <c r="I33" s="713"/>
      <c r="J33" s="702"/>
      <c r="K33" s="703"/>
      <c r="L33" s="703">
        <f t="shared" si="8"/>
        <v>0</v>
      </c>
      <c r="M33" s="702"/>
      <c r="N33" s="702"/>
      <c r="O33" s="653">
        <f t="shared" si="9"/>
        <v>0</v>
      </c>
      <c r="Q33" s="385">
        <f t="shared" si="10"/>
      </c>
    </row>
    <row r="34" spans="1:17" s="664" customFormat="1" ht="30" customHeight="1">
      <c r="A34" s="756">
        <v>2</v>
      </c>
      <c r="B34" s="1089" t="s">
        <v>8</v>
      </c>
      <c r="C34" s="1092">
        <v>136</v>
      </c>
      <c r="D34" s="645" t="s">
        <v>442</v>
      </c>
      <c r="E34" s="1018" t="s">
        <v>615</v>
      </c>
      <c r="F34" s="713">
        <v>11993.88</v>
      </c>
      <c r="G34" s="713">
        <v>8000</v>
      </c>
      <c r="H34" s="713">
        <v>24416.78</v>
      </c>
      <c r="I34" s="713">
        <f>H34-J34</f>
        <v>488.27999999999884</v>
      </c>
      <c r="J34" s="702">
        <v>23928.5</v>
      </c>
      <c r="K34" s="703">
        <v>13000</v>
      </c>
      <c r="L34" s="703">
        <f t="shared" si="8"/>
        <v>5000</v>
      </c>
      <c r="M34" s="702">
        <v>13000</v>
      </c>
      <c r="N34" s="702">
        <v>13000</v>
      </c>
      <c r="O34" s="990">
        <f t="shared" si="9"/>
        <v>24993.879999999997</v>
      </c>
      <c r="Q34" s="1010">
        <f t="shared" si="10"/>
      </c>
    </row>
    <row r="35" spans="1:17" ht="30" customHeight="1">
      <c r="A35" s="381">
        <v>2</v>
      </c>
      <c r="B35" s="1093" t="s">
        <v>8</v>
      </c>
      <c r="C35" s="1094">
        <v>137</v>
      </c>
      <c r="D35" s="401" t="s">
        <v>442</v>
      </c>
      <c r="E35" s="399" t="s">
        <v>903</v>
      </c>
      <c r="F35" s="713"/>
      <c r="G35" s="713"/>
      <c r="H35" s="713"/>
      <c r="I35" s="713"/>
      <c r="J35" s="702"/>
      <c r="K35" s="703"/>
      <c r="L35" s="703">
        <f t="shared" si="8"/>
        <v>0</v>
      </c>
      <c r="M35" s="702"/>
      <c r="N35" s="702"/>
      <c r="O35" s="990">
        <f t="shared" si="9"/>
        <v>0</v>
      </c>
      <c r="Q35" s="385">
        <f t="shared" si="10"/>
      </c>
    </row>
    <row r="36" spans="1:17" ht="30" customHeight="1">
      <c r="A36" s="381">
        <v>2</v>
      </c>
      <c r="B36" s="1093" t="s">
        <v>8</v>
      </c>
      <c r="C36" s="1094">
        <v>138</v>
      </c>
      <c r="D36" s="401" t="s">
        <v>442</v>
      </c>
      <c r="E36" s="399" t="s">
        <v>1119</v>
      </c>
      <c r="F36" s="713"/>
      <c r="G36" s="713"/>
      <c r="H36" s="713"/>
      <c r="I36" s="713"/>
      <c r="J36" s="702"/>
      <c r="K36" s="703"/>
      <c r="L36" s="703">
        <f t="shared" si="8"/>
        <v>0</v>
      </c>
      <c r="M36" s="702"/>
      <c r="N36" s="702"/>
      <c r="O36" s="990">
        <f t="shared" si="9"/>
        <v>0</v>
      </c>
      <c r="Q36" s="385">
        <f t="shared" si="10"/>
      </c>
    </row>
    <row r="37" spans="1:17" ht="30" customHeight="1">
      <c r="A37" s="381">
        <v>2</v>
      </c>
      <c r="B37" s="1093" t="s">
        <v>8</v>
      </c>
      <c r="C37" s="1094">
        <v>139</v>
      </c>
      <c r="D37" s="401" t="s">
        <v>442</v>
      </c>
      <c r="E37" s="399" t="s">
        <v>995</v>
      </c>
      <c r="F37" s="713">
        <v>2349.7</v>
      </c>
      <c r="G37" s="713"/>
      <c r="H37" s="713">
        <v>2349.7</v>
      </c>
      <c r="I37" s="713">
        <f>J37-H37</f>
        <v>0</v>
      </c>
      <c r="J37" s="702">
        <v>2349.7</v>
      </c>
      <c r="K37" s="703"/>
      <c r="L37" s="703">
        <f t="shared" si="8"/>
        <v>0</v>
      </c>
      <c r="M37" s="702"/>
      <c r="N37" s="702"/>
      <c r="O37" s="990">
        <f t="shared" si="9"/>
        <v>2349.7</v>
      </c>
      <c r="Q37" s="385">
        <f t="shared" si="10"/>
      </c>
    </row>
    <row r="38" spans="1:17" ht="30" customHeight="1">
      <c r="A38" s="381">
        <v>2</v>
      </c>
      <c r="B38" s="1093" t="s">
        <v>8</v>
      </c>
      <c r="C38" s="1094">
        <v>140</v>
      </c>
      <c r="D38" s="401" t="s">
        <v>442</v>
      </c>
      <c r="E38" s="399" t="s">
        <v>1086</v>
      </c>
      <c r="F38" s="713"/>
      <c r="G38" s="713">
        <v>0</v>
      </c>
      <c r="H38" s="713">
        <v>0</v>
      </c>
      <c r="I38" s="713">
        <f aca="true" t="shared" si="11" ref="I38:I45">H38-J38</f>
        <v>-77897</v>
      </c>
      <c r="J38" s="702">
        <v>77897</v>
      </c>
      <c r="K38" s="703">
        <v>77897</v>
      </c>
      <c r="L38" s="703">
        <f t="shared" si="8"/>
        <v>77897</v>
      </c>
      <c r="M38" s="702"/>
      <c r="N38" s="702"/>
      <c r="O38" s="990">
        <f t="shared" si="9"/>
        <v>77897</v>
      </c>
      <c r="Q38" s="385">
        <f t="shared" si="10"/>
      </c>
    </row>
    <row r="39" spans="1:17" ht="30" customHeight="1">
      <c r="A39" s="386">
        <v>2</v>
      </c>
      <c r="B39" s="1087" t="s">
        <v>8</v>
      </c>
      <c r="C39" s="1090">
        <v>251</v>
      </c>
      <c r="D39" s="401" t="s">
        <v>442</v>
      </c>
      <c r="E39" s="311" t="s">
        <v>1139</v>
      </c>
      <c r="F39" s="614">
        <v>24418.93</v>
      </c>
      <c r="G39" s="614">
        <v>20000</v>
      </c>
      <c r="H39" s="614">
        <v>20256.63</v>
      </c>
      <c r="I39" s="614">
        <f t="shared" si="11"/>
        <v>256.630000000001</v>
      </c>
      <c r="J39" s="709">
        <v>20000</v>
      </c>
      <c r="K39" s="704">
        <v>20000</v>
      </c>
      <c r="L39" s="703">
        <f t="shared" si="8"/>
        <v>0</v>
      </c>
      <c r="M39" s="709">
        <v>20000</v>
      </c>
      <c r="N39" s="709">
        <v>20000</v>
      </c>
      <c r="O39" s="653">
        <f t="shared" si="9"/>
        <v>44418.93</v>
      </c>
      <c r="Q39" s="385">
        <f t="shared" si="10"/>
      </c>
    </row>
    <row r="40" spans="1:17" ht="30" customHeight="1">
      <c r="A40" s="386">
        <v>2</v>
      </c>
      <c r="B40" s="1087" t="s">
        <v>905</v>
      </c>
      <c r="C40" s="1090">
        <v>330</v>
      </c>
      <c r="D40" s="401" t="s">
        <v>443</v>
      </c>
      <c r="E40" s="311" t="s">
        <v>630</v>
      </c>
      <c r="F40" s="614">
        <v>27168</v>
      </c>
      <c r="G40" s="614"/>
      <c r="H40" s="614">
        <v>12168</v>
      </c>
      <c r="I40" s="614">
        <f t="shared" si="11"/>
        <v>168</v>
      </c>
      <c r="J40" s="709">
        <v>12000</v>
      </c>
      <c r="K40" s="704"/>
      <c r="L40" s="703">
        <f t="shared" si="8"/>
        <v>0</v>
      </c>
      <c r="M40" s="709"/>
      <c r="N40" s="709"/>
      <c r="O40" s="990">
        <f t="shared" si="9"/>
        <v>27168</v>
      </c>
      <c r="Q40" s="385">
        <f t="shared" si="10"/>
      </c>
    </row>
    <row r="41" spans="1:17" ht="30" customHeight="1">
      <c r="A41" s="386">
        <v>2</v>
      </c>
      <c r="B41" s="1087" t="s">
        <v>905</v>
      </c>
      <c r="C41" s="1090">
        <v>331</v>
      </c>
      <c r="D41" s="401" t="s">
        <v>443</v>
      </c>
      <c r="E41" s="311" t="s">
        <v>996</v>
      </c>
      <c r="F41" s="614"/>
      <c r="G41" s="614"/>
      <c r="H41" s="614">
        <v>171</v>
      </c>
      <c r="I41" s="614">
        <f t="shared" si="11"/>
        <v>0</v>
      </c>
      <c r="J41" s="709">
        <v>171</v>
      </c>
      <c r="K41" s="704"/>
      <c r="L41" s="703">
        <f t="shared" si="8"/>
        <v>0</v>
      </c>
      <c r="M41" s="709"/>
      <c r="N41" s="709"/>
      <c r="O41" s="990">
        <f t="shared" si="9"/>
        <v>0</v>
      </c>
      <c r="Q41" s="385">
        <f t="shared" si="10"/>
      </c>
    </row>
    <row r="42" spans="1:17" ht="30" customHeight="1">
      <c r="A42" s="386">
        <v>2</v>
      </c>
      <c r="B42" s="1087" t="s">
        <v>905</v>
      </c>
      <c r="C42" s="1090">
        <v>332</v>
      </c>
      <c r="D42" s="401" t="s">
        <v>443</v>
      </c>
      <c r="E42" s="311" t="s">
        <v>997</v>
      </c>
      <c r="F42" s="614"/>
      <c r="G42" s="614"/>
      <c r="H42" s="614">
        <v>2560</v>
      </c>
      <c r="I42" s="614">
        <f t="shared" si="11"/>
        <v>0</v>
      </c>
      <c r="J42" s="709">
        <v>2560</v>
      </c>
      <c r="K42" s="704"/>
      <c r="L42" s="703">
        <f>K42-G42</f>
        <v>0</v>
      </c>
      <c r="M42" s="709"/>
      <c r="N42" s="709"/>
      <c r="O42" s="990">
        <f t="shared" si="9"/>
        <v>0</v>
      </c>
      <c r="Q42" s="385">
        <f t="shared" si="10"/>
      </c>
    </row>
    <row r="43" spans="1:17" ht="30" customHeight="1">
      <c r="A43" s="386">
        <v>2</v>
      </c>
      <c r="B43" s="1087" t="s">
        <v>905</v>
      </c>
      <c r="C43" s="1090">
        <v>333</v>
      </c>
      <c r="D43" s="401" t="s">
        <v>443</v>
      </c>
      <c r="E43" s="311" t="s">
        <v>1090</v>
      </c>
      <c r="F43" s="614">
        <v>1047.66</v>
      </c>
      <c r="G43" s="614"/>
      <c r="H43" s="614">
        <v>1047.66</v>
      </c>
      <c r="I43" s="614">
        <f t="shared" si="11"/>
        <v>0</v>
      </c>
      <c r="J43" s="709">
        <v>1047.66</v>
      </c>
      <c r="K43" s="704"/>
      <c r="L43" s="703">
        <f t="shared" si="8"/>
        <v>0</v>
      </c>
      <c r="M43" s="709"/>
      <c r="N43" s="709"/>
      <c r="O43" s="990">
        <f t="shared" si="9"/>
        <v>1047.66</v>
      </c>
      <c r="Q43" s="385">
        <f t="shared" si="10"/>
      </c>
    </row>
    <row r="44" spans="1:17" ht="30" customHeight="1">
      <c r="A44" s="386">
        <v>2</v>
      </c>
      <c r="B44" s="1087" t="s">
        <v>905</v>
      </c>
      <c r="C44" s="1090">
        <v>336</v>
      </c>
      <c r="D44" s="401" t="s">
        <v>443</v>
      </c>
      <c r="E44" s="311" t="s">
        <v>998</v>
      </c>
      <c r="F44" s="614">
        <v>5461.75</v>
      </c>
      <c r="G44" s="614"/>
      <c r="H44" s="614">
        <v>5461.75</v>
      </c>
      <c r="I44" s="614">
        <f t="shared" si="11"/>
        <v>0</v>
      </c>
      <c r="J44" s="709">
        <v>5461.75</v>
      </c>
      <c r="K44" s="704"/>
      <c r="L44" s="703">
        <f t="shared" si="8"/>
        <v>0</v>
      </c>
      <c r="M44" s="709"/>
      <c r="N44" s="709"/>
      <c r="O44" s="990">
        <f t="shared" si="9"/>
        <v>5461.75</v>
      </c>
      <c r="Q44" s="385">
        <f t="shared" si="10"/>
      </c>
    </row>
    <row r="45" spans="1:17" ht="30" customHeight="1">
      <c r="A45" s="386">
        <v>2</v>
      </c>
      <c r="B45" s="1087" t="s">
        <v>905</v>
      </c>
      <c r="C45" s="1090">
        <v>337</v>
      </c>
      <c r="D45" s="401" t="s">
        <v>443</v>
      </c>
      <c r="E45" s="311" t="s">
        <v>1045</v>
      </c>
      <c r="F45" s="614">
        <v>5195</v>
      </c>
      <c r="G45" s="614"/>
      <c r="H45" s="614">
        <v>5195</v>
      </c>
      <c r="I45" s="614">
        <f t="shared" si="11"/>
        <v>0</v>
      </c>
      <c r="J45" s="709">
        <v>5195</v>
      </c>
      <c r="K45" s="704"/>
      <c r="L45" s="703">
        <f t="shared" si="8"/>
        <v>0</v>
      </c>
      <c r="M45" s="709"/>
      <c r="N45" s="709"/>
      <c r="O45" s="990">
        <f t="shared" si="9"/>
        <v>5195</v>
      </c>
      <c r="Q45" s="385">
        <f t="shared" si="10"/>
      </c>
    </row>
    <row r="46" spans="1:17" ht="30" customHeight="1">
      <c r="A46" s="386">
        <v>2</v>
      </c>
      <c r="B46" s="1087" t="s">
        <v>905</v>
      </c>
      <c r="C46" s="1090">
        <v>340</v>
      </c>
      <c r="D46" s="401" t="s">
        <v>443</v>
      </c>
      <c r="E46" s="390" t="s">
        <v>459</v>
      </c>
      <c r="F46" s="614"/>
      <c r="G46" s="614"/>
      <c r="H46" s="614"/>
      <c r="I46" s="614">
        <f aca="true" t="shared" si="12" ref="I46:I63">H46-J46</f>
        <v>0</v>
      </c>
      <c r="J46" s="615"/>
      <c r="K46" s="614"/>
      <c r="L46" s="703">
        <f t="shared" si="8"/>
        <v>0</v>
      </c>
      <c r="M46" s="615"/>
      <c r="N46" s="615"/>
      <c r="O46" s="653">
        <f aca="true" t="shared" si="13" ref="O46:O63">F46+K46</f>
        <v>0</v>
      </c>
      <c r="Q46" s="385">
        <f aca="true" t="shared" si="14" ref="Q46:Q63">IF(O46&gt;(F46+K46),"ERRORE","")</f>
      </c>
    </row>
    <row r="47" spans="1:17" ht="30" customHeight="1">
      <c r="A47" s="386">
        <v>2</v>
      </c>
      <c r="B47" s="1087" t="s">
        <v>905</v>
      </c>
      <c r="C47" s="1090">
        <v>341</v>
      </c>
      <c r="D47" s="401" t="s">
        <v>443</v>
      </c>
      <c r="E47" s="830" t="s">
        <v>1137</v>
      </c>
      <c r="F47" s="614"/>
      <c r="G47" s="614">
        <v>8000</v>
      </c>
      <c r="H47" s="614">
        <v>0</v>
      </c>
      <c r="I47" s="614">
        <f t="shared" si="12"/>
        <v>-8000</v>
      </c>
      <c r="J47" s="615">
        <v>8000</v>
      </c>
      <c r="K47" s="614">
        <v>8000</v>
      </c>
      <c r="L47" s="703">
        <f t="shared" si="8"/>
        <v>0</v>
      </c>
      <c r="M47" s="615">
        <v>8000</v>
      </c>
      <c r="N47" s="615">
        <v>8000</v>
      </c>
      <c r="O47" s="653">
        <f t="shared" si="13"/>
        <v>8000</v>
      </c>
      <c r="Q47" s="1050">
        <f t="shared" si="14"/>
      </c>
    </row>
    <row r="48" spans="1:17" ht="30" customHeight="1">
      <c r="A48" s="386">
        <v>2</v>
      </c>
      <c r="B48" s="1087" t="s">
        <v>905</v>
      </c>
      <c r="C48" s="1090">
        <v>342</v>
      </c>
      <c r="D48" s="401" t="s">
        <v>443</v>
      </c>
      <c r="E48" s="830" t="s">
        <v>1138</v>
      </c>
      <c r="F48" s="614">
        <v>1790.12</v>
      </c>
      <c r="G48" s="614">
        <v>5000</v>
      </c>
      <c r="H48" s="614">
        <v>1790.12</v>
      </c>
      <c r="I48" s="614">
        <f t="shared" si="12"/>
        <v>-3209.88</v>
      </c>
      <c r="J48" s="615">
        <v>5000</v>
      </c>
      <c r="K48" s="614">
        <v>5000</v>
      </c>
      <c r="L48" s="703">
        <f>K48-G48</f>
        <v>0</v>
      </c>
      <c r="M48" s="615">
        <v>5000</v>
      </c>
      <c r="N48" s="615">
        <v>5000</v>
      </c>
      <c r="O48" s="653">
        <f t="shared" si="13"/>
        <v>6790.12</v>
      </c>
      <c r="Q48" s="1050">
        <f t="shared" si="14"/>
      </c>
    </row>
    <row r="49" spans="1:17" ht="30" customHeight="1">
      <c r="A49" s="386">
        <v>2</v>
      </c>
      <c r="B49" s="1087" t="s">
        <v>905</v>
      </c>
      <c r="C49" s="1090">
        <v>344</v>
      </c>
      <c r="D49" s="401" t="s">
        <v>443</v>
      </c>
      <c r="E49" s="830" t="s">
        <v>1136</v>
      </c>
      <c r="F49" s="614"/>
      <c r="G49" s="614">
        <v>20000</v>
      </c>
      <c r="H49" s="614">
        <v>14677.3</v>
      </c>
      <c r="I49" s="614">
        <f t="shared" si="12"/>
        <v>-5322.700000000001</v>
      </c>
      <c r="J49" s="615">
        <v>20000</v>
      </c>
      <c r="K49" s="614">
        <v>20000</v>
      </c>
      <c r="L49" s="703">
        <f t="shared" si="8"/>
        <v>0</v>
      </c>
      <c r="M49" s="615">
        <v>20000</v>
      </c>
      <c r="N49" s="615">
        <v>20000</v>
      </c>
      <c r="O49" s="653">
        <f t="shared" si="13"/>
        <v>20000</v>
      </c>
      <c r="P49" s="389"/>
      <c r="Q49" s="1050">
        <f t="shared" si="14"/>
      </c>
    </row>
    <row r="50" spans="1:17" ht="30" customHeight="1">
      <c r="A50" s="386">
        <v>2</v>
      </c>
      <c r="B50" s="1087" t="s">
        <v>905</v>
      </c>
      <c r="C50" s="1090">
        <v>345</v>
      </c>
      <c r="D50" s="401" t="s">
        <v>443</v>
      </c>
      <c r="E50" s="830" t="s">
        <v>1135</v>
      </c>
      <c r="F50" s="614">
        <v>3600</v>
      </c>
      <c r="G50" s="614">
        <v>50000</v>
      </c>
      <c r="H50" s="614">
        <v>41880</v>
      </c>
      <c r="I50" s="614">
        <f t="shared" si="12"/>
        <v>-8120</v>
      </c>
      <c r="J50" s="615">
        <v>50000</v>
      </c>
      <c r="K50" s="614">
        <v>50000</v>
      </c>
      <c r="L50" s="703">
        <f t="shared" si="8"/>
        <v>0</v>
      </c>
      <c r="M50" s="615">
        <v>50000</v>
      </c>
      <c r="N50" s="615">
        <v>50000</v>
      </c>
      <c r="O50" s="653">
        <f t="shared" si="13"/>
        <v>53600</v>
      </c>
      <c r="Q50" s="1050">
        <f t="shared" si="14"/>
      </c>
    </row>
    <row r="51" spans="1:17" ht="30" customHeight="1">
      <c r="A51" s="386">
        <v>2</v>
      </c>
      <c r="B51" s="1087" t="s">
        <v>905</v>
      </c>
      <c r="C51" s="1090">
        <v>347</v>
      </c>
      <c r="D51" s="394" t="s">
        <v>443</v>
      </c>
      <c r="E51" s="390" t="s">
        <v>168</v>
      </c>
      <c r="F51" s="614">
        <v>7391</v>
      </c>
      <c r="G51" s="614"/>
      <c r="H51" s="614"/>
      <c r="I51" s="614">
        <f t="shared" si="12"/>
        <v>0</v>
      </c>
      <c r="J51" s="614"/>
      <c r="K51" s="614"/>
      <c r="L51" s="703">
        <f t="shared" si="8"/>
        <v>0</v>
      </c>
      <c r="M51" s="615"/>
      <c r="N51" s="615"/>
      <c r="O51" s="653">
        <f t="shared" si="13"/>
        <v>7391</v>
      </c>
      <c r="Q51" s="385">
        <f t="shared" si="14"/>
      </c>
    </row>
    <row r="52" spans="1:17" ht="30" customHeight="1">
      <c r="A52" s="386">
        <v>2</v>
      </c>
      <c r="B52" s="1087" t="s">
        <v>905</v>
      </c>
      <c r="C52" s="1090">
        <v>348</v>
      </c>
      <c r="D52" s="401" t="s">
        <v>443</v>
      </c>
      <c r="E52" s="311" t="s">
        <v>608</v>
      </c>
      <c r="F52" s="614"/>
      <c r="G52" s="614">
        <v>13000</v>
      </c>
      <c r="H52" s="614">
        <v>39999.94</v>
      </c>
      <c r="I52" s="614">
        <f t="shared" si="12"/>
        <v>23.290000000000873</v>
      </c>
      <c r="J52" s="615">
        <v>39976.65</v>
      </c>
      <c r="K52" s="614">
        <v>22000</v>
      </c>
      <c r="L52" s="703">
        <f t="shared" si="8"/>
        <v>9000</v>
      </c>
      <c r="M52" s="615">
        <v>22000</v>
      </c>
      <c r="N52" s="615">
        <v>22000</v>
      </c>
      <c r="O52" s="653">
        <f t="shared" si="13"/>
        <v>22000</v>
      </c>
      <c r="Q52" s="385">
        <f t="shared" si="14"/>
      </c>
    </row>
    <row r="53" spans="1:17" ht="30" customHeight="1">
      <c r="A53" s="386">
        <v>2</v>
      </c>
      <c r="B53" s="1087" t="s">
        <v>905</v>
      </c>
      <c r="C53" s="1090">
        <v>349</v>
      </c>
      <c r="D53" s="401" t="s">
        <v>443</v>
      </c>
      <c r="E53" s="311" t="s">
        <v>1156</v>
      </c>
      <c r="F53" s="614"/>
      <c r="G53" s="614"/>
      <c r="H53" s="614"/>
      <c r="I53" s="614"/>
      <c r="J53" s="615"/>
      <c r="K53" s="614">
        <v>10000</v>
      </c>
      <c r="L53" s="703"/>
      <c r="M53" s="615">
        <v>10000</v>
      </c>
      <c r="N53" s="615">
        <v>10000</v>
      </c>
      <c r="O53" s="653">
        <f t="shared" si="13"/>
        <v>10000</v>
      </c>
      <c r="Q53" s="385">
        <f t="shared" si="14"/>
      </c>
    </row>
    <row r="54" spans="1:17" s="664" customFormat="1" ht="30" customHeight="1">
      <c r="A54" s="761">
        <v>2</v>
      </c>
      <c r="B54" s="1088" t="s">
        <v>905</v>
      </c>
      <c r="C54" s="1091">
        <v>351</v>
      </c>
      <c r="D54" s="645" t="s">
        <v>443</v>
      </c>
      <c r="E54" s="830" t="s">
        <v>460</v>
      </c>
      <c r="F54" s="614">
        <v>42579</v>
      </c>
      <c r="G54" s="614">
        <v>20000</v>
      </c>
      <c r="H54" s="614">
        <v>20000</v>
      </c>
      <c r="I54" s="614">
        <f t="shared" si="12"/>
        <v>0</v>
      </c>
      <c r="J54" s="615">
        <v>20000</v>
      </c>
      <c r="K54" s="614">
        <v>30000</v>
      </c>
      <c r="L54" s="703">
        <v>30000</v>
      </c>
      <c r="M54" s="615">
        <v>35000</v>
      </c>
      <c r="N54" s="615">
        <v>35000</v>
      </c>
      <c r="O54" s="653">
        <f t="shared" si="13"/>
        <v>72579</v>
      </c>
      <c r="P54" s="731"/>
      <c r="Q54" s="1010">
        <f t="shared" si="14"/>
      </c>
    </row>
    <row r="55" spans="1:17" ht="41.25" customHeight="1">
      <c r="A55" s="386">
        <v>2</v>
      </c>
      <c r="B55" s="1087" t="s">
        <v>905</v>
      </c>
      <c r="C55" s="1090">
        <v>352</v>
      </c>
      <c r="D55" s="401" t="s">
        <v>443</v>
      </c>
      <c r="E55" s="830" t="s">
        <v>1098</v>
      </c>
      <c r="F55" s="614">
        <v>15974.82</v>
      </c>
      <c r="G55" s="614">
        <v>40000</v>
      </c>
      <c r="H55" s="614">
        <v>20470.7</v>
      </c>
      <c r="I55" s="614">
        <f t="shared" si="12"/>
        <v>-19529.3</v>
      </c>
      <c r="J55" s="615">
        <v>40000</v>
      </c>
      <c r="K55" s="704">
        <v>40000</v>
      </c>
      <c r="L55" s="703">
        <f>K55-G55</f>
        <v>0</v>
      </c>
      <c r="M55" s="709">
        <v>0</v>
      </c>
      <c r="N55" s="709">
        <v>0</v>
      </c>
      <c r="O55" s="653">
        <f t="shared" si="13"/>
        <v>55974.82</v>
      </c>
      <c r="P55" s="417"/>
      <c r="Q55" s="385">
        <f t="shared" si="14"/>
      </c>
    </row>
    <row r="56" spans="1:17" s="664" customFormat="1" ht="30" customHeight="1">
      <c r="A56" s="761">
        <v>2</v>
      </c>
      <c r="B56" s="1088" t="s">
        <v>905</v>
      </c>
      <c r="C56" s="1091">
        <v>353</v>
      </c>
      <c r="D56" s="645" t="s">
        <v>443</v>
      </c>
      <c r="E56" s="830" t="s">
        <v>958</v>
      </c>
      <c r="F56" s="614">
        <v>21877.06</v>
      </c>
      <c r="G56" s="614">
        <v>29000</v>
      </c>
      <c r="H56" s="614">
        <v>21524.2</v>
      </c>
      <c r="I56" s="614">
        <f>H56-J56</f>
        <v>-7475.799999999999</v>
      </c>
      <c r="J56" s="615">
        <v>29000</v>
      </c>
      <c r="K56" s="704">
        <v>29000</v>
      </c>
      <c r="L56" s="703">
        <f t="shared" si="8"/>
        <v>0</v>
      </c>
      <c r="M56" s="709">
        <v>0</v>
      </c>
      <c r="N56" s="709">
        <v>0</v>
      </c>
      <c r="O56" s="653">
        <f t="shared" si="13"/>
        <v>50877.06</v>
      </c>
      <c r="P56" s="731"/>
      <c r="Q56" s="1010">
        <f t="shared" si="14"/>
      </c>
    </row>
    <row r="57" spans="1:17" ht="30" customHeight="1">
      <c r="A57" s="386">
        <v>2</v>
      </c>
      <c r="B57" s="1087" t="s">
        <v>905</v>
      </c>
      <c r="C57" s="1090">
        <v>354</v>
      </c>
      <c r="D57" s="401" t="s">
        <v>443</v>
      </c>
      <c r="E57" s="830" t="s">
        <v>632</v>
      </c>
      <c r="F57" s="704">
        <v>24877.5</v>
      </c>
      <c r="G57" s="704">
        <v>24220</v>
      </c>
      <c r="H57" s="704">
        <v>24220</v>
      </c>
      <c r="I57" s="614">
        <f t="shared" si="12"/>
        <v>0</v>
      </c>
      <c r="J57" s="709">
        <v>24220</v>
      </c>
      <c r="K57" s="704">
        <v>24220</v>
      </c>
      <c r="L57" s="703">
        <f t="shared" si="8"/>
        <v>0</v>
      </c>
      <c r="M57" s="709">
        <v>24220</v>
      </c>
      <c r="N57" s="709">
        <v>24220</v>
      </c>
      <c r="O57" s="990">
        <f t="shared" si="13"/>
        <v>49097.5</v>
      </c>
      <c r="P57" s="417"/>
      <c r="Q57" s="385">
        <f t="shared" si="14"/>
      </c>
    </row>
    <row r="58" spans="1:17" ht="30" customHeight="1">
      <c r="A58" s="386">
        <v>2</v>
      </c>
      <c r="B58" s="1087" t="s">
        <v>8</v>
      </c>
      <c r="C58" s="1090">
        <v>356</v>
      </c>
      <c r="D58" s="401" t="s">
        <v>443</v>
      </c>
      <c r="E58" s="830" t="s">
        <v>1143</v>
      </c>
      <c r="F58" s="704"/>
      <c r="G58" s="704">
        <v>10000</v>
      </c>
      <c r="H58" s="704">
        <v>0</v>
      </c>
      <c r="I58" s="614">
        <f t="shared" si="12"/>
        <v>-10000</v>
      </c>
      <c r="J58" s="709">
        <v>10000</v>
      </c>
      <c r="K58" s="704">
        <v>10000</v>
      </c>
      <c r="L58" s="703">
        <f t="shared" si="8"/>
        <v>0</v>
      </c>
      <c r="M58" s="709">
        <v>10000</v>
      </c>
      <c r="N58" s="709">
        <v>10000</v>
      </c>
      <c r="O58" s="653">
        <f t="shared" si="13"/>
        <v>10000</v>
      </c>
      <c r="P58" s="417"/>
      <c r="Q58" s="1050">
        <f t="shared" si="14"/>
      </c>
    </row>
    <row r="59" spans="1:17" ht="30" customHeight="1">
      <c r="A59" s="386">
        <v>2</v>
      </c>
      <c r="B59" s="1087" t="s">
        <v>8</v>
      </c>
      <c r="C59" s="1090">
        <v>357</v>
      </c>
      <c r="D59" s="401" t="s">
        <v>443</v>
      </c>
      <c r="E59" s="830" t="s">
        <v>1128</v>
      </c>
      <c r="F59" s="704">
        <v>5600</v>
      </c>
      <c r="G59" s="704"/>
      <c r="H59" s="704"/>
      <c r="I59" s="614">
        <f t="shared" si="12"/>
        <v>0</v>
      </c>
      <c r="J59" s="709"/>
      <c r="K59" s="704"/>
      <c r="L59" s="703">
        <f t="shared" si="8"/>
        <v>0</v>
      </c>
      <c r="M59" s="709"/>
      <c r="N59" s="709"/>
      <c r="O59" s="653">
        <f t="shared" si="13"/>
        <v>5600</v>
      </c>
      <c r="P59" s="417"/>
      <c r="Q59" s="385">
        <f t="shared" si="14"/>
      </c>
    </row>
    <row r="60" spans="1:17" ht="30" customHeight="1">
      <c r="A60" s="386">
        <v>2</v>
      </c>
      <c r="B60" s="1087" t="s">
        <v>8</v>
      </c>
      <c r="C60" s="1090">
        <v>358</v>
      </c>
      <c r="D60" s="401" t="s">
        <v>443</v>
      </c>
      <c r="E60" s="830" t="s">
        <v>1130</v>
      </c>
      <c r="F60" s="704">
        <v>4784</v>
      </c>
      <c r="G60" s="704"/>
      <c r="H60" s="704"/>
      <c r="I60" s="614">
        <f t="shared" si="12"/>
        <v>0</v>
      </c>
      <c r="J60" s="709"/>
      <c r="K60" s="704"/>
      <c r="L60" s="703">
        <f t="shared" si="8"/>
        <v>0</v>
      </c>
      <c r="M60" s="709"/>
      <c r="N60" s="709"/>
      <c r="O60" s="653">
        <f t="shared" si="13"/>
        <v>4784</v>
      </c>
      <c r="P60" s="417"/>
      <c r="Q60" s="385">
        <f t="shared" si="14"/>
      </c>
    </row>
    <row r="61" spans="1:17" ht="30" customHeight="1">
      <c r="A61" s="386">
        <v>2</v>
      </c>
      <c r="B61" s="1087" t="s">
        <v>8</v>
      </c>
      <c r="C61" s="1090">
        <v>359</v>
      </c>
      <c r="D61" s="401" t="s">
        <v>443</v>
      </c>
      <c r="E61" s="830" t="s">
        <v>1131</v>
      </c>
      <c r="F61" s="704">
        <v>1976</v>
      </c>
      <c r="G61" s="704"/>
      <c r="H61" s="704"/>
      <c r="I61" s="614">
        <f t="shared" si="12"/>
        <v>0</v>
      </c>
      <c r="J61" s="709"/>
      <c r="K61" s="704"/>
      <c r="L61" s="703">
        <f t="shared" si="8"/>
        <v>0</v>
      </c>
      <c r="M61" s="709"/>
      <c r="N61" s="709"/>
      <c r="O61" s="653">
        <f t="shared" si="13"/>
        <v>1976</v>
      </c>
      <c r="P61" s="417"/>
      <c r="Q61" s="385">
        <f t="shared" si="14"/>
      </c>
    </row>
    <row r="62" spans="1:17" ht="30" customHeight="1">
      <c r="A62" s="386">
        <v>2</v>
      </c>
      <c r="B62" s="1087" t="s">
        <v>8</v>
      </c>
      <c r="C62" s="1090">
        <v>360</v>
      </c>
      <c r="D62" s="401" t="s">
        <v>443</v>
      </c>
      <c r="E62" s="830" t="s">
        <v>1129</v>
      </c>
      <c r="F62" s="704"/>
      <c r="G62" s="704"/>
      <c r="H62" s="704"/>
      <c r="I62" s="614">
        <f>H62-J62</f>
        <v>0</v>
      </c>
      <c r="J62" s="709"/>
      <c r="K62" s="704"/>
      <c r="L62" s="703">
        <f t="shared" si="8"/>
        <v>0</v>
      </c>
      <c r="M62" s="709"/>
      <c r="N62" s="709"/>
      <c r="O62" s="653">
        <f t="shared" si="13"/>
        <v>0</v>
      </c>
      <c r="P62" s="417"/>
      <c r="Q62" s="385">
        <f t="shared" si="14"/>
      </c>
    </row>
    <row r="63" spans="1:17" ht="30" customHeight="1" thickBot="1">
      <c r="A63" s="386">
        <v>2</v>
      </c>
      <c r="B63" s="1087" t="s">
        <v>8</v>
      </c>
      <c r="C63" s="1090">
        <v>480</v>
      </c>
      <c r="D63" s="401" t="s">
        <v>443</v>
      </c>
      <c r="E63" s="311" t="s">
        <v>616</v>
      </c>
      <c r="F63" s="704">
        <v>8727.41</v>
      </c>
      <c r="G63" s="704">
        <v>6000</v>
      </c>
      <c r="H63" s="704">
        <v>15329.19</v>
      </c>
      <c r="I63" s="614">
        <f t="shared" si="12"/>
        <v>-770.8099999999995</v>
      </c>
      <c r="J63" s="709">
        <v>16100</v>
      </c>
      <c r="K63" s="704">
        <v>9000</v>
      </c>
      <c r="L63" s="703">
        <f t="shared" si="8"/>
        <v>3000</v>
      </c>
      <c r="M63" s="709">
        <v>9000</v>
      </c>
      <c r="N63" s="709">
        <v>9000</v>
      </c>
      <c r="O63" s="653">
        <f t="shared" si="13"/>
        <v>17727.41</v>
      </c>
      <c r="P63" s="417"/>
      <c r="Q63" s="385">
        <f t="shared" si="14"/>
      </c>
    </row>
    <row r="64" spans="1:17" s="412" customFormat="1" ht="30" customHeight="1" thickBot="1">
      <c r="A64" s="1233" t="s">
        <v>589</v>
      </c>
      <c r="B64" s="1234"/>
      <c r="C64" s="1234"/>
      <c r="D64" s="1234"/>
      <c r="E64" s="1235"/>
      <c r="F64" s="392">
        <f>SUM(F21:F63)</f>
        <v>265375.51999999996</v>
      </c>
      <c r="G64" s="392">
        <f>SUM(G21:G63)</f>
        <v>301220</v>
      </c>
      <c r="H64" s="392">
        <f>SUM(H21:H63)</f>
        <v>391950.49000000005</v>
      </c>
      <c r="I64" s="392">
        <f>SUM(I21:I63)</f>
        <v>-125741.01000000001</v>
      </c>
      <c r="J64" s="705">
        <f>SUM(J21:J63)</f>
        <v>517691.5</v>
      </c>
      <c r="K64" s="705">
        <f>SUM(K21:K63)</f>
        <v>445700</v>
      </c>
      <c r="L64" s="705">
        <f>SUM(L21:L63)</f>
        <v>154480</v>
      </c>
      <c r="M64" s="705">
        <f>SUM(M21:M63)</f>
        <v>307674</v>
      </c>
      <c r="N64" s="392">
        <f>SUM(N21:N63)</f>
        <v>307674</v>
      </c>
      <c r="O64" s="654">
        <f>SUM(O21:O63)</f>
        <v>711075.5199999999</v>
      </c>
      <c r="Q64" s="1045"/>
    </row>
    <row r="65" spans="1:17" ht="30" customHeight="1" thickBot="1">
      <c r="A65" s="386">
        <v>2</v>
      </c>
      <c r="B65" s="1087" t="s">
        <v>905</v>
      </c>
      <c r="C65" s="1090">
        <v>355</v>
      </c>
      <c r="D65" s="401" t="s">
        <v>904</v>
      </c>
      <c r="E65" s="830" t="s">
        <v>863</v>
      </c>
      <c r="F65" s="704"/>
      <c r="G65" s="704"/>
      <c r="H65" s="704"/>
      <c r="I65" s="704"/>
      <c r="J65" s="709"/>
      <c r="K65" s="704"/>
      <c r="L65" s="704"/>
      <c r="M65" s="709"/>
      <c r="N65" s="709"/>
      <c r="O65" s="653">
        <f>F65+K65</f>
        <v>0</v>
      </c>
      <c r="P65" s="417"/>
      <c r="Q65" s="385">
        <f>IF(O65&gt;(F65+K65),"ERRORE","")</f>
      </c>
    </row>
    <row r="66" spans="1:17" s="412" customFormat="1" ht="30" customHeight="1" thickBot="1">
      <c r="A66" s="1233" t="s">
        <v>933</v>
      </c>
      <c r="B66" s="1234"/>
      <c r="C66" s="1234"/>
      <c r="D66" s="1234"/>
      <c r="E66" s="1235"/>
      <c r="F66" s="705">
        <f aca="true" t="shared" si="15" ref="F66:O66">SUM(F65)</f>
        <v>0</v>
      </c>
      <c r="G66" s="705">
        <f t="shared" si="15"/>
        <v>0</v>
      </c>
      <c r="H66" s="705">
        <f t="shared" si="15"/>
        <v>0</v>
      </c>
      <c r="I66" s="705">
        <f t="shared" si="15"/>
        <v>0</v>
      </c>
      <c r="J66" s="705">
        <f t="shared" si="15"/>
        <v>0</v>
      </c>
      <c r="K66" s="705">
        <f t="shared" si="15"/>
        <v>0</v>
      </c>
      <c r="L66" s="705"/>
      <c r="M66" s="705">
        <f t="shared" si="15"/>
        <v>0</v>
      </c>
      <c r="N66" s="705">
        <f t="shared" si="15"/>
        <v>0</v>
      </c>
      <c r="O66" s="824">
        <f t="shared" si="15"/>
        <v>0</v>
      </c>
      <c r="Q66" s="1046"/>
    </row>
    <row r="67" spans="1:17" s="395" customFormat="1" ht="30" customHeight="1" thickBot="1">
      <c r="A67" s="1244" t="s">
        <v>11</v>
      </c>
      <c r="B67" s="1245"/>
      <c r="C67" s="1245"/>
      <c r="D67" s="1245"/>
      <c r="E67" s="1245"/>
      <c r="F67" s="818">
        <f>F64+F66</f>
        <v>265375.51999999996</v>
      </c>
      <c r="G67" s="818">
        <f aca="true" t="shared" si="16" ref="G67:O67">G64+G66</f>
        <v>301220</v>
      </c>
      <c r="H67" s="818">
        <f t="shared" si="16"/>
        <v>391950.49000000005</v>
      </c>
      <c r="I67" s="818">
        <f t="shared" si="16"/>
        <v>-125741.01000000001</v>
      </c>
      <c r="J67" s="818">
        <f t="shared" si="16"/>
        <v>517691.5</v>
      </c>
      <c r="K67" s="818">
        <f t="shared" si="16"/>
        <v>445700</v>
      </c>
      <c r="L67" s="818">
        <f t="shared" si="16"/>
        <v>154480</v>
      </c>
      <c r="M67" s="818">
        <f t="shared" si="16"/>
        <v>307674</v>
      </c>
      <c r="N67" s="818">
        <f t="shared" si="16"/>
        <v>307674</v>
      </c>
      <c r="O67" s="819">
        <f t="shared" si="16"/>
        <v>711075.5199999999</v>
      </c>
      <c r="Q67" s="370">
        <f>IF(O67&gt;(F67+K67),"ERRORE","")</f>
      </c>
    </row>
    <row r="68" spans="1:17" s="395" customFormat="1" ht="30" customHeight="1" thickBot="1">
      <c r="A68" s="1242" t="s">
        <v>15</v>
      </c>
      <c r="B68" s="1243"/>
      <c r="C68" s="1243"/>
      <c r="D68" s="1243"/>
      <c r="E68" s="1243"/>
      <c r="F68" s="1243"/>
      <c r="G68" s="1243"/>
      <c r="H68" s="1243"/>
      <c r="I68" s="1243"/>
      <c r="J68" s="1243"/>
      <c r="K68" s="1243"/>
      <c r="L68" s="1243"/>
      <c r="M68" s="1243"/>
      <c r="N68" s="1243"/>
      <c r="O68" s="1243"/>
      <c r="Q68" s="370"/>
    </row>
    <row r="69" spans="1:17" s="397" customFormat="1" ht="68.25" customHeight="1" thickBot="1">
      <c r="A69" s="403" t="str">
        <f>A5</f>
        <v>Titolo</v>
      </c>
      <c r="B69" s="404" t="str">
        <f>B5</f>
        <v>Tipologia</v>
      </c>
      <c r="C69" s="404" t="str">
        <f>C5</f>
        <v>Capitolo</v>
      </c>
      <c r="D69" s="405" t="s">
        <v>431</v>
      </c>
      <c r="E69" s="404" t="str">
        <f>E5</f>
        <v>DESCRIZIONE</v>
      </c>
      <c r="F69" s="404" t="str">
        <f>F5</f>
        <v>RESIDUI PRESUNTI AL 17.01.2023</v>
      </c>
      <c r="G69" s="404" t="str">
        <f>G5</f>
        <v>PREVISIONE INIZIALE 2022</v>
      </c>
      <c r="H69" s="404" t="str">
        <f>H5</f>
        <v>ACCERTAMENTI AL 17.01.2023</v>
      </c>
      <c r="I69" s="404" t="str">
        <f>I5</f>
        <v>DIFFERENZA TRA ACCERTATO E ASSESTATO</v>
      </c>
      <c r="J69" s="710" t="str">
        <f>J5</f>
        <v>PREVISIONE 2022 ASSESTATA AL 17.01.2023</v>
      </c>
      <c r="K69" s="1022" t="str">
        <f>K5</f>
        <v>PREVISIONE 2023</v>
      </c>
      <c r="L69" s="1229" t="str">
        <f>L5</f>
        <v>DIFFERENZE TRA PREVISIONI 2023 E PREVISIONI INIZIALI 2022</v>
      </c>
      <c r="M69" s="1023" t="str">
        <f>M5</f>
        <v>PREVISIONE 2024</v>
      </c>
      <c r="N69" s="1024" t="str">
        <f>N5</f>
        <v>PREVISIONE 2025</v>
      </c>
      <c r="O69" s="668" t="str">
        <f>O5</f>
        <v>PREVISIONE DI CASSA 2023</v>
      </c>
      <c r="Q69" s="370"/>
    </row>
    <row r="70" spans="1:17" ht="30" customHeight="1">
      <c r="A70" s="381">
        <v>3</v>
      </c>
      <c r="B70" s="1093" t="s">
        <v>185</v>
      </c>
      <c r="C70" s="1090">
        <v>471</v>
      </c>
      <c r="D70" s="398" t="s">
        <v>444</v>
      </c>
      <c r="E70" s="382" t="s">
        <v>158</v>
      </c>
      <c r="F70" s="713">
        <v>1225.05</v>
      </c>
      <c r="G70" s="713">
        <v>1500</v>
      </c>
      <c r="H70" s="713">
        <v>1000</v>
      </c>
      <c r="I70" s="713">
        <f>H70-J70</f>
        <v>-500</v>
      </c>
      <c r="J70" s="1003">
        <v>1500</v>
      </c>
      <c r="K70" s="713">
        <v>1000</v>
      </c>
      <c r="L70" s="713">
        <f>K70-G70</f>
        <v>-500</v>
      </c>
      <c r="M70" s="1003">
        <v>1000</v>
      </c>
      <c r="N70" s="1003">
        <v>1000</v>
      </c>
      <c r="O70" s="653">
        <f aca="true" t="shared" si="17" ref="O70:O83">F70+K70</f>
        <v>2225.05</v>
      </c>
      <c r="Q70" s="1044">
        <f aca="true" t="shared" si="18" ref="Q70:Q83">IF(O70&gt;(F70+K70),"ERRORE","")</f>
      </c>
    </row>
    <row r="71" spans="1:17" ht="30" customHeight="1">
      <c r="A71" s="386">
        <v>3</v>
      </c>
      <c r="B71" s="1087" t="s">
        <v>185</v>
      </c>
      <c r="C71" s="1090">
        <v>472</v>
      </c>
      <c r="D71" s="401" t="s">
        <v>444</v>
      </c>
      <c r="E71" s="390" t="s">
        <v>159</v>
      </c>
      <c r="F71" s="704">
        <v>1117.47</v>
      </c>
      <c r="G71" s="704">
        <v>5000</v>
      </c>
      <c r="H71" s="704">
        <v>8000</v>
      </c>
      <c r="I71" s="704">
        <f>H71-J71</f>
        <v>-1000</v>
      </c>
      <c r="J71" s="709">
        <v>9000</v>
      </c>
      <c r="K71" s="704">
        <v>10000</v>
      </c>
      <c r="L71" s="704">
        <f>K71-G71</f>
        <v>5000</v>
      </c>
      <c r="M71" s="709">
        <v>10000</v>
      </c>
      <c r="N71" s="709">
        <v>10000</v>
      </c>
      <c r="O71" s="616">
        <f t="shared" si="17"/>
        <v>11117.47</v>
      </c>
      <c r="Q71" s="385">
        <f t="shared" si="18"/>
      </c>
    </row>
    <row r="72" spans="1:17" ht="30" customHeight="1">
      <c r="A72" s="386">
        <v>3</v>
      </c>
      <c r="B72" s="1087" t="s">
        <v>185</v>
      </c>
      <c r="C72" s="1090">
        <v>473</v>
      </c>
      <c r="D72" s="401" t="s">
        <v>444</v>
      </c>
      <c r="E72" s="390" t="s">
        <v>149</v>
      </c>
      <c r="F72" s="704">
        <v>6532</v>
      </c>
      <c r="G72" s="704">
        <v>34200</v>
      </c>
      <c r="H72" s="704">
        <v>33000</v>
      </c>
      <c r="I72" s="704">
        <f aca="true" t="shared" si="19" ref="I72:I83">H72-J72</f>
        <v>-11200</v>
      </c>
      <c r="J72" s="709">
        <v>44200</v>
      </c>
      <c r="K72" s="704">
        <v>30000</v>
      </c>
      <c r="L72" s="704">
        <f aca="true" t="shared" si="20" ref="L72:L83">K72-G72</f>
        <v>-4200</v>
      </c>
      <c r="M72" s="709">
        <v>30000</v>
      </c>
      <c r="N72" s="709">
        <v>30000</v>
      </c>
      <c r="O72" s="616">
        <f t="shared" si="17"/>
        <v>36532</v>
      </c>
      <c r="Q72" s="385">
        <f t="shared" si="18"/>
      </c>
    </row>
    <row r="73" spans="1:17" ht="30" customHeight="1">
      <c r="A73" s="386">
        <v>3</v>
      </c>
      <c r="B73" s="1087" t="s">
        <v>185</v>
      </c>
      <c r="C73" s="1090">
        <v>474</v>
      </c>
      <c r="D73" s="401" t="s">
        <v>444</v>
      </c>
      <c r="E73" s="390" t="s">
        <v>150</v>
      </c>
      <c r="F73" s="704">
        <v>1272.37</v>
      </c>
      <c r="G73" s="704">
        <v>12000</v>
      </c>
      <c r="H73" s="704">
        <v>8257.44</v>
      </c>
      <c r="I73" s="704">
        <f t="shared" si="19"/>
        <v>-3742.5599999999995</v>
      </c>
      <c r="J73" s="709">
        <v>12000</v>
      </c>
      <c r="K73" s="704">
        <v>8000</v>
      </c>
      <c r="L73" s="704">
        <f t="shared" si="20"/>
        <v>-4000</v>
      </c>
      <c r="M73" s="709">
        <v>8000</v>
      </c>
      <c r="N73" s="709">
        <v>8000</v>
      </c>
      <c r="O73" s="991">
        <f t="shared" si="17"/>
        <v>9272.369999999999</v>
      </c>
      <c r="Q73" s="385">
        <f t="shared" si="18"/>
      </c>
    </row>
    <row r="74" spans="1:17" ht="30" customHeight="1">
      <c r="A74" s="386">
        <v>3</v>
      </c>
      <c r="B74" s="1087" t="s">
        <v>185</v>
      </c>
      <c r="C74" s="1090">
        <v>476</v>
      </c>
      <c r="D74" s="401" t="s">
        <v>444</v>
      </c>
      <c r="E74" s="390" t="s">
        <v>125</v>
      </c>
      <c r="F74" s="704">
        <v>1406.94</v>
      </c>
      <c r="G74" s="704">
        <v>10000</v>
      </c>
      <c r="H74" s="704">
        <v>8000</v>
      </c>
      <c r="I74" s="704">
        <f t="shared" si="19"/>
        <v>-2000</v>
      </c>
      <c r="J74" s="709">
        <v>10000</v>
      </c>
      <c r="K74" s="704">
        <v>5000</v>
      </c>
      <c r="L74" s="704">
        <f t="shared" si="20"/>
        <v>-5000</v>
      </c>
      <c r="M74" s="709">
        <v>5000</v>
      </c>
      <c r="N74" s="709">
        <v>5000</v>
      </c>
      <c r="O74" s="991">
        <f t="shared" si="17"/>
        <v>6406.9400000000005</v>
      </c>
      <c r="Q74" s="385">
        <f t="shared" si="18"/>
      </c>
    </row>
    <row r="75" spans="1:17" ht="30" customHeight="1">
      <c r="A75" s="386">
        <v>3</v>
      </c>
      <c r="B75" s="1087" t="s">
        <v>185</v>
      </c>
      <c r="C75" s="1090">
        <v>477</v>
      </c>
      <c r="D75" s="401" t="s">
        <v>444</v>
      </c>
      <c r="E75" s="390" t="s">
        <v>161</v>
      </c>
      <c r="F75" s="704">
        <v>1280</v>
      </c>
      <c r="G75" s="704">
        <v>9000</v>
      </c>
      <c r="H75" s="704">
        <v>7215</v>
      </c>
      <c r="I75" s="704">
        <f t="shared" si="19"/>
        <v>-1785</v>
      </c>
      <c r="J75" s="709">
        <v>9000</v>
      </c>
      <c r="K75" s="704">
        <v>8000</v>
      </c>
      <c r="L75" s="704">
        <f t="shared" si="20"/>
        <v>-1000</v>
      </c>
      <c r="M75" s="709">
        <v>8000</v>
      </c>
      <c r="N75" s="709">
        <v>8000</v>
      </c>
      <c r="O75" s="991">
        <f t="shared" si="17"/>
        <v>9280</v>
      </c>
      <c r="Q75" s="385">
        <f t="shared" si="18"/>
      </c>
    </row>
    <row r="76" spans="1:17" s="664" customFormat="1" ht="30" customHeight="1">
      <c r="A76" s="761">
        <v>3</v>
      </c>
      <c r="B76" s="1088" t="s">
        <v>185</v>
      </c>
      <c r="C76" s="1091">
        <v>730</v>
      </c>
      <c r="D76" s="645" t="s">
        <v>444</v>
      </c>
      <c r="E76" s="1021" t="s">
        <v>157</v>
      </c>
      <c r="F76" s="704">
        <v>24432.65</v>
      </c>
      <c r="G76" s="704">
        <v>20000</v>
      </c>
      <c r="H76" s="704">
        <v>21115.4</v>
      </c>
      <c r="I76" s="704">
        <f t="shared" si="19"/>
        <v>-3884.5999999999985</v>
      </c>
      <c r="J76" s="709">
        <v>25000</v>
      </c>
      <c r="K76" s="704">
        <v>20000</v>
      </c>
      <c r="L76" s="704">
        <f t="shared" si="20"/>
        <v>0</v>
      </c>
      <c r="M76" s="709">
        <v>20000</v>
      </c>
      <c r="N76" s="709">
        <v>20000</v>
      </c>
      <c r="O76" s="991">
        <f t="shared" si="17"/>
        <v>44432.65</v>
      </c>
      <c r="Q76" s="1010">
        <f t="shared" si="18"/>
      </c>
    </row>
    <row r="77" spans="1:17" s="664" customFormat="1" ht="30" customHeight="1">
      <c r="A77" s="761">
        <v>3</v>
      </c>
      <c r="B77" s="1088" t="s">
        <v>185</v>
      </c>
      <c r="C77" s="1091">
        <v>740</v>
      </c>
      <c r="D77" s="645" t="s">
        <v>444</v>
      </c>
      <c r="E77" s="830" t="s">
        <v>910</v>
      </c>
      <c r="F77" s="704"/>
      <c r="G77" s="704">
        <v>15000</v>
      </c>
      <c r="H77" s="704">
        <v>28669</v>
      </c>
      <c r="I77" s="704">
        <f t="shared" si="19"/>
        <v>8669</v>
      </c>
      <c r="J77" s="709">
        <v>20000</v>
      </c>
      <c r="K77" s="704">
        <v>20000</v>
      </c>
      <c r="L77" s="704">
        <f t="shared" si="20"/>
        <v>5000</v>
      </c>
      <c r="M77" s="709">
        <v>20000</v>
      </c>
      <c r="N77" s="709">
        <v>20000</v>
      </c>
      <c r="O77" s="991">
        <f t="shared" si="17"/>
        <v>20000</v>
      </c>
      <c r="Q77" s="1010">
        <f t="shared" si="18"/>
      </c>
    </row>
    <row r="78" spans="1:17" ht="30" customHeight="1">
      <c r="A78" s="386">
        <v>3</v>
      </c>
      <c r="B78" s="1087" t="s">
        <v>185</v>
      </c>
      <c r="C78" s="1090">
        <v>742</v>
      </c>
      <c r="D78" s="401" t="s">
        <v>444</v>
      </c>
      <c r="E78" s="390" t="s">
        <v>488</v>
      </c>
      <c r="F78" s="704">
        <v>18000</v>
      </c>
      <c r="G78" s="704">
        <v>6000</v>
      </c>
      <c r="H78" s="704">
        <v>6000</v>
      </c>
      <c r="I78" s="704">
        <f t="shared" si="19"/>
        <v>0</v>
      </c>
      <c r="J78" s="709">
        <v>6000</v>
      </c>
      <c r="K78" s="704">
        <v>6000</v>
      </c>
      <c r="L78" s="704">
        <f t="shared" si="20"/>
        <v>0</v>
      </c>
      <c r="M78" s="709">
        <v>6000</v>
      </c>
      <c r="N78" s="709">
        <v>6000</v>
      </c>
      <c r="O78" s="991">
        <f t="shared" si="17"/>
        <v>24000</v>
      </c>
      <c r="Q78" s="385">
        <f t="shared" si="18"/>
      </c>
    </row>
    <row r="79" spans="1:17" ht="30" customHeight="1">
      <c r="A79" s="386">
        <v>3</v>
      </c>
      <c r="B79" s="1087" t="s">
        <v>185</v>
      </c>
      <c r="C79" s="1090">
        <v>848</v>
      </c>
      <c r="D79" s="401" t="s">
        <v>447</v>
      </c>
      <c r="E79" s="390" t="s">
        <v>299</v>
      </c>
      <c r="F79" s="704">
        <v>20298.39</v>
      </c>
      <c r="G79" s="704">
        <v>30000</v>
      </c>
      <c r="H79" s="704">
        <v>15000</v>
      </c>
      <c r="I79" s="704">
        <f t="shared" si="19"/>
        <v>-15000</v>
      </c>
      <c r="J79" s="709">
        <v>30000</v>
      </c>
      <c r="K79" s="704">
        <v>15000</v>
      </c>
      <c r="L79" s="704">
        <f t="shared" si="20"/>
        <v>-15000</v>
      </c>
      <c r="M79" s="709">
        <v>15000</v>
      </c>
      <c r="N79" s="709">
        <v>15000</v>
      </c>
      <c r="O79" s="991">
        <f t="shared" si="17"/>
        <v>35298.39</v>
      </c>
      <c r="Q79" s="385">
        <f t="shared" si="18"/>
      </c>
    </row>
    <row r="80" spans="1:17" ht="30" customHeight="1">
      <c r="A80" s="386">
        <v>3</v>
      </c>
      <c r="B80" s="1087" t="s">
        <v>185</v>
      </c>
      <c r="C80" s="1090">
        <v>849</v>
      </c>
      <c r="D80" s="645" t="s">
        <v>600</v>
      </c>
      <c r="E80" s="311" t="s">
        <v>659</v>
      </c>
      <c r="F80" s="704"/>
      <c r="G80" s="704"/>
      <c r="H80" s="704"/>
      <c r="I80" s="704">
        <f t="shared" si="19"/>
        <v>0</v>
      </c>
      <c r="J80" s="709"/>
      <c r="K80" s="704"/>
      <c r="L80" s="704">
        <f>K80-G80</f>
        <v>0</v>
      </c>
      <c r="M80" s="709"/>
      <c r="N80" s="709"/>
      <c r="O80" s="991">
        <f t="shared" si="17"/>
        <v>0</v>
      </c>
      <c r="Q80" s="385">
        <f t="shared" si="18"/>
      </c>
    </row>
    <row r="81" spans="1:17" ht="30" customHeight="1">
      <c r="A81" s="386">
        <v>3</v>
      </c>
      <c r="B81" s="1087" t="s">
        <v>185</v>
      </c>
      <c r="C81" s="1090">
        <v>850</v>
      </c>
      <c r="D81" s="401" t="s">
        <v>447</v>
      </c>
      <c r="E81" s="311" t="s">
        <v>967</v>
      </c>
      <c r="F81" s="704">
        <v>58576.84</v>
      </c>
      <c r="G81" s="704">
        <v>13000</v>
      </c>
      <c r="H81" s="704">
        <v>13605.36</v>
      </c>
      <c r="I81" s="704">
        <f t="shared" si="19"/>
        <v>605.3600000000006</v>
      </c>
      <c r="J81" s="709">
        <v>13000</v>
      </c>
      <c r="K81" s="704">
        <v>14000</v>
      </c>
      <c r="L81" s="704">
        <f t="shared" si="20"/>
        <v>1000</v>
      </c>
      <c r="M81" s="704">
        <v>14000</v>
      </c>
      <c r="N81" s="704">
        <v>14000</v>
      </c>
      <c r="O81" s="991">
        <f t="shared" si="17"/>
        <v>72576.84</v>
      </c>
      <c r="Q81" s="385">
        <f t="shared" si="18"/>
      </c>
    </row>
    <row r="82" spans="1:17" ht="30" customHeight="1">
      <c r="A82" s="386">
        <v>3</v>
      </c>
      <c r="B82" s="1087" t="s">
        <v>185</v>
      </c>
      <c r="C82" s="1090">
        <v>851</v>
      </c>
      <c r="D82" s="401" t="s">
        <v>447</v>
      </c>
      <c r="E82" s="390" t="s">
        <v>490</v>
      </c>
      <c r="F82" s="709">
        <v>5122.86</v>
      </c>
      <c r="G82" s="709">
        <v>15000</v>
      </c>
      <c r="H82" s="709">
        <v>10545.36</v>
      </c>
      <c r="I82" s="704">
        <f t="shared" si="19"/>
        <v>-4454.639999999999</v>
      </c>
      <c r="J82" s="709">
        <v>15000</v>
      </c>
      <c r="K82" s="709">
        <v>8000</v>
      </c>
      <c r="L82" s="704">
        <f t="shared" si="20"/>
        <v>-7000</v>
      </c>
      <c r="M82" s="709">
        <v>8000</v>
      </c>
      <c r="N82" s="709">
        <v>8000</v>
      </c>
      <c r="O82" s="991">
        <f t="shared" si="17"/>
        <v>13122.86</v>
      </c>
      <c r="Q82" s="385">
        <f t="shared" si="18"/>
      </c>
    </row>
    <row r="83" spans="1:17" ht="30" customHeight="1" thickBot="1">
      <c r="A83" s="428">
        <v>3</v>
      </c>
      <c r="B83" s="1095" t="s">
        <v>185</v>
      </c>
      <c r="C83" s="1090">
        <v>854</v>
      </c>
      <c r="D83" s="1008" t="s">
        <v>911</v>
      </c>
      <c r="E83" s="1009" t="s">
        <v>968</v>
      </c>
      <c r="F83" s="832">
        <v>13501</v>
      </c>
      <c r="G83" s="832">
        <v>13000</v>
      </c>
      <c r="H83" s="832">
        <v>13500</v>
      </c>
      <c r="I83" s="704">
        <f t="shared" si="19"/>
        <v>500</v>
      </c>
      <c r="J83" s="832">
        <v>13000</v>
      </c>
      <c r="K83" s="832">
        <v>14000</v>
      </c>
      <c r="L83" s="704">
        <f t="shared" si="20"/>
        <v>1000</v>
      </c>
      <c r="M83" s="832">
        <v>14000</v>
      </c>
      <c r="N83" s="832">
        <v>14000</v>
      </c>
      <c r="O83" s="991">
        <f t="shared" si="17"/>
        <v>27501</v>
      </c>
      <c r="Q83" s="385">
        <f t="shared" si="18"/>
      </c>
    </row>
    <row r="84" spans="1:17" s="412" customFormat="1" ht="30" customHeight="1" thickBot="1">
      <c r="A84" s="1233" t="s">
        <v>590</v>
      </c>
      <c r="B84" s="1234"/>
      <c r="C84" s="1234"/>
      <c r="D84" s="1234"/>
      <c r="E84" s="1235"/>
      <c r="F84" s="705">
        <f>SUM(F70:F83)</f>
        <v>152765.56999999998</v>
      </c>
      <c r="G84" s="705">
        <f aca="true" t="shared" si="21" ref="G84:N84">SUM(G70:G83)</f>
        <v>183700</v>
      </c>
      <c r="H84" s="705">
        <f t="shared" si="21"/>
        <v>173907.56</v>
      </c>
      <c r="I84" s="705">
        <f t="shared" si="21"/>
        <v>-33792.439999999995</v>
      </c>
      <c r="J84" s="705">
        <f t="shared" si="21"/>
        <v>207700</v>
      </c>
      <c r="K84" s="705">
        <f t="shared" si="21"/>
        <v>159000</v>
      </c>
      <c r="L84" s="705">
        <f t="shared" si="21"/>
        <v>-24700</v>
      </c>
      <c r="M84" s="705">
        <f t="shared" si="21"/>
        <v>159000</v>
      </c>
      <c r="N84" s="705">
        <f t="shared" si="21"/>
        <v>159000</v>
      </c>
      <c r="O84" s="654">
        <f>SUM(O70:O83)</f>
        <v>311765.56999999995</v>
      </c>
      <c r="Q84" s="1045"/>
    </row>
    <row r="85" spans="1:17" s="664" customFormat="1" ht="30" customHeight="1">
      <c r="A85" s="756">
        <v>3</v>
      </c>
      <c r="B85" s="1089" t="s">
        <v>186</v>
      </c>
      <c r="C85" s="1090">
        <v>475</v>
      </c>
      <c r="D85" s="1017" t="s">
        <v>433</v>
      </c>
      <c r="E85" s="1018" t="s">
        <v>160</v>
      </c>
      <c r="F85" s="713">
        <v>3100</v>
      </c>
      <c r="G85" s="713">
        <v>1000</v>
      </c>
      <c r="H85" s="713">
        <v>0</v>
      </c>
      <c r="I85" s="713">
        <f>H85-J85</f>
        <v>-1000</v>
      </c>
      <c r="J85" s="718">
        <v>1000</v>
      </c>
      <c r="K85" s="716">
        <v>1000</v>
      </c>
      <c r="L85" s="716">
        <f>K85-G85</f>
        <v>0</v>
      </c>
      <c r="M85" s="716">
        <v>1000</v>
      </c>
      <c r="N85" s="1005">
        <v>1000</v>
      </c>
      <c r="O85" s="992">
        <f>F85+K85</f>
        <v>4100</v>
      </c>
      <c r="Q85" s="1010">
        <f aca="true" t="shared" si="22" ref="Q85:Q101">IF(O85&gt;(F85+K85),"ERRORE","")</f>
      </c>
    </row>
    <row r="86" spans="1:17" s="664" customFormat="1" ht="30" customHeight="1">
      <c r="A86" s="761">
        <v>3</v>
      </c>
      <c r="B86" s="1088" t="s">
        <v>186</v>
      </c>
      <c r="C86" s="1090">
        <v>478</v>
      </c>
      <c r="D86" s="645" t="s">
        <v>433</v>
      </c>
      <c r="E86" s="830" t="s">
        <v>664</v>
      </c>
      <c r="F86" s="704">
        <v>45333.32</v>
      </c>
      <c r="G86" s="704">
        <v>30000</v>
      </c>
      <c r="H86" s="704">
        <v>30000</v>
      </c>
      <c r="I86" s="704">
        <f>H86-J86</f>
        <v>0</v>
      </c>
      <c r="J86" s="709">
        <v>30000</v>
      </c>
      <c r="K86" s="704">
        <v>30000</v>
      </c>
      <c r="L86" s="704">
        <f>K86-G86</f>
        <v>0</v>
      </c>
      <c r="M86" s="704">
        <v>30000</v>
      </c>
      <c r="N86" s="709">
        <v>30000</v>
      </c>
      <c r="O86" s="991">
        <f>F86+K86</f>
        <v>75333.32</v>
      </c>
      <c r="Q86" s="1010">
        <f t="shared" si="22"/>
      </c>
    </row>
    <row r="87" spans="1:17" s="664" customFormat="1" ht="45" customHeight="1">
      <c r="A87" s="790">
        <v>3</v>
      </c>
      <c r="B87" s="1096" t="s">
        <v>186</v>
      </c>
      <c r="C87" s="1094" t="s">
        <v>999</v>
      </c>
      <c r="D87" s="645" t="s">
        <v>433</v>
      </c>
      <c r="E87" s="1016" t="s">
        <v>1048</v>
      </c>
      <c r="F87" s="715">
        <v>1836.6</v>
      </c>
      <c r="G87" s="715">
        <v>0</v>
      </c>
      <c r="H87" s="715">
        <v>10000</v>
      </c>
      <c r="I87" s="715">
        <f>H87-J87</f>
        <v>-1000</v>
      </c>
      <c r="J87" s="831">
        <v>11000</v>
      </c>
      <c r="K87" s="704">
        <v>25000</v>
      </c>
      <c r="L87" s="704">
        <f>K87-G87</f>
        <v>25000</v>
      </c>
      <c r="M87" s="704">
        <v>25000</v>
      </c>
      <c r="N87" s="709">
        <v>25000</v>
      </c>
      <c r="O87" s="991">
        <f>F87+K87</f>
        <v>26836.6</v>
      </c>
      <c r="Q87" s="1010">
        <f t="shared" si="22"/>
      </c>
    </row>
    <row r="88" spans="1:17" s="664" customFormat="1" ht="30" customHeight="1" thickBot="1">
      <c r="A88" s="626">
        <v>3</v>
      </c>
      <c r="B88" s="1097" t="s">
        <v>186</v>
      </c>
      <c r="C88" s="1090">
        <v>479</v>
      </c>
      <c r="D88" s="1011" t="s">
        <v>246</v>
      </c>
      <c r="E88" s="1012" t="s">
        <v>665</v>
      </c>
      <c r="F88" s="716">
        <v>45000</v>
      </c>
      <c r="G88" s="716">
        <v>10000</v>
      </c>
      <c r="H88" s="716">
        <v>0</v>
      </c>
      <c r="I88" s="716">
        <f>H88-J88</f>
        <v>-10000</v>
      </c>
      <c r="J88" s="718">
        <v>10000</v>
      </c>
      <c r="K88" s="716">
        <v>5000</v>
      </c>
      <c r="L88" s="704">
        <f>K88-G88</f>
        <v>-5000</v>
      </c>
      <c r="M88" s="716">
        <v>5000</v>
      </c>
      <c r="N88" s="832">
        <v>5000</v>
      </c>
      <c r="O88" s="993">
        <f>F88+K88</f>
        <v>50000</v>
      </c>
      <c r="Q88" s="1010">
        <f t="shared" si="22"/>
      </c>
    </row>
    <row r="89" spans="1:17" s="662" customFormat="1" ht="30" customHeight="1" thickBot="1">
      <c r="A89" s="1236" t="s">
        <v>591</v>
      </c>
      <c r="B89" s="1237"/>
      <c r="C89" s="1237"/>
      <c r="D89" s="1237"/>
      <c r="E89" s="1238"/>
      <c r="F89" s="717">
        <f aca="true" t="shared" si="23" ref="F89:O89">SUM(F85:F88)</f>
        <v>95269.92</v>
      </c>
      <c r="G89" s="717">
        <f t="shared" si="23"/>
        <v>41000</v>
      </c>
      <c r="H89" s="717">
        <f t="shared" si="23"/>
        <v>40000</v>
      </c>
      <c r="I89" s="717">
        <f t="shared" si="23"/>
        <v>-12000</v>
      </c>
      <c r="J89" s="717">
        <f t="shared" si="23"/>
        <v>52000</v>
      </c>
      <c r="K89" s="717">
        <f t="shared" si="23"/>
        <v>61000</v>
      </c>
      <c r="L89" s="717">
        <f t="shared" si="23"/>
        <v>20000</v>
      </c>
      <c r="M89" s="717">
        <f t="shared" si="23"/>
        <v>61000</v>
      </c>
      <c r="N89" s="717">
        <f t="shared" si="23"/>
        <v>61000</v>
      </c>
      <c r="O89" s="654">
        <f t="shared" si="23"/>
        <v>156269.92</v>
      </c>
      <c r="Q89" s="1047">
        <f t="shared" si="22"/>
      </c>
    </row>
    <row r="90" spans="1:17" s="664" customFormat="1" ht="30" customHeight="1">
      <c r="A90" s="977">
        <v>3</v>
      </c>
      <c r="B90" s="1098" t="s">
        <v>187</v>
      </c>
      <c r="C90" s="1090">
        <v>890</v>
      </c>
      <c r="D90" s="1029" t="s">
        <v>446</v>
      </c>
      <c r="E90" s="1030" t="s">
        <v>461</v>
      </c>
      <c r="F90" s="713">
        <v>99.04</v>
      </c>
      <c r="G90" s="713">
        <v>50</v>
      </c>
      <c r="H90" s="713">
        <v>0</v>
      </c>
      <c r="I90" s="713">
        <f>H90-J90</f>
        <v>-50</v>
      </c>
      <c r="J90" s="713">
        <v>50</v>
      </c>
      <c r="K90" s="1003">
        <v>50</v>
      </c>
      <c r="L90" s="713">
        <f>K90-G90</f>
        <v>0</v>
      </c>
      <c r="M90" s="713">
        <v>50</v>
      </c>
      <c r="N90" s="1005">
        <v>50</v>
      </c>
      <c r="O90" s="992">
        <f>F90+K90</f>
        <v>149.04000000000002</v>
      </c>
      <c r="Q90" s="1010">
        <f t="shared" si="22"/>
      </c>
    </row>
    <row r="91" spans="1:17" s="664" customFormat="1" ht="30" customHeight="1">
      <c r="A91" s="756">
        <v>3</v>
      </c>
      <c r="B91" s="1089" t="s">
        <v>187</v>
      </c>
      <c r="C91" s="1090">
        <v>895</v>
      </c>
      <c r="D91" s="1017" t="s">
        <v>445</v>
      </c>
      <c r="E91" s="1019" t="s">
        <v>151</v>
      </c>
      <c r="F91" s="715"/>
      <c r="G91" s="715">
        <v>100</v>
      </c>
      <c r="H91" s="715">
        <v>0</v>
      </c>
      <c r="I91" s="715">
        <f>H91-J91</f>
        <v>-100</v>
      </c>
      <c r="J91" s="715">
        <v>100</v>
      </c>
      <c r="K91" s="831">
        <v>100</v>
      </c>
      <c r="L91" s="715">
        <f>K91-G91</f>
        <v>0</v>
      </c>
      <c r="M91" s="715">
        <v>100</v>
      </c>
      <c r="N91" s="831">
        <v>100</v>
      </c>
      <c r="O91" s="990">
        <f>F91+K91</f>
        <v>100</v>
      </c>
      <c r="Q91" s="1010">
        <f t="shared" si="22"/>
      </c>
    </row>
    <row r="92" spans="1:17" s="664" customFormat="1" ht="30" customHeight="1" thickBot="1">
      <c r="A92" s="626"/>
      <c r="B92" s="1013"/>
      <c r="C92" s="1090"/>
      <c r="D92" s="1011"/>
      <c r="E92" s="1012"/>
      <c r="F92" s="716"/>
      <c r="G92" s="716"/>
      <c r="H92" s="716"/>
      <c r="I92" s="716"/>
      <c r="J92" s="716"/>
      <c r="K92" s="718"/>
      <c r="L92" s="716"/>
      <c r="M92" s="716"/>
      <c r="N92" s="832"/>
      <c r="O92" s="1006">
        <f>F92+K92</f>
        <v>0</v>
      </c>
      <c r="Q92" s="1010">
        <f t="shared" si="22"/>
      </c>
    </row>
    <row r="93" spans="1:17" s="662" customFormat="1" ht="30" customHeight="1" thickBot="1">
      <c r="A93" s="1236" t="s">
        <v>592</v>
      </c>
      <c r="B93" s="1237"/>
      <c r="C93" s="1237"/>
      <c r="D93" s="1237"/>
      <c r="E93" s="1238"/>
      <c r="F93" s="717">
        <f aca="true" t="shared" si="24" ref="F93:O93">SUM(F90:F92)</f>
        <v>99.04</v>
      </c>
      <c r="G93" s="717">
        <f t="shared" si="24"/>
        <v>150</v>
      </c>
      <c r="H93" s="717">
        <f t="shared" si="24"/>
        <v>0</v>
      </c>
      <c r="I93" s="717">
        <f t="shared" si="24"/>
        <v>-150</v>
      </c>
      <c r="J93" s="717">
        <f t="shared" si="24"/>
        <v>150</v>
      </c>
      <c r="K93" s="717">
        <f t="shared" si="24"/>
        <v>150</v>
      </c>
      <c r="L93" s="717">
        <f t="shared" si="24"/>
        <v>0</v>
      </c>
      <c r="M93" s="717">
        <f t="shared" si="24"/>
        <v>150</v>
      </c>
      <c r="N93" s="717">
        <f t="shared" si="24"/>
        <v>150</v>
      </c>
      <c r="O93" s="654">
        <f t="shared" si="24"/>
        <v>249.04000000000002</v>
      </c>
      <c r="Q93" s="1047">
        <f t="shared" si="22"/>
      </c>
    </row>
    <row r="94" spans="1:17" s="1014" customFormat="1" ht="30" customHeight="1">
      <c r="A94" s="761">
        <v>3</v>
      </c>
      <c r="B94" s="1088" t="s">
        <v>422</v>
      </c>
      <c r="C94" s="1090">
        <v>555</v>
      </c>
      <c r="D94" s="645" t="s">
        <v>834</v>
      </c>
      <c r="E94" s="830" t="s">
        <v>462</v>
      </c>
      <c r="F94" s="704"/>
      <c r="G94" s="704"/>
      <c r="H94" s="704"/>
      <c r="I94" s="704"/>
      <c r="J94" s="709"/>
      <c r="K94" s="704"/>
      <c r="L94" s="704"/>
      <c r="M94" s="704"/>
      <c r="N94" s="709"/>
      <c r="O94" s="991">
        <f aca="true" t="shared" si="25" ref="O94:O101">F94+K94</f>
        <v>0</v>
      </c>
      <c r="Q94" s="1015">
        <f t="shared" si="22"/>
      </c>
    </row>
    <row r="95" spans="1:17" s="1014" customFormat="1" ht="30" customHeight="1">
      <c r="A95" s="761">
        <v>3</v>
      </c>
      <c r="B95" s="1088" t="s">
        <v>422</v>
      </c>
      <c r="C95" s="1090">
        <v>950</v>
      </c>
      <c r="D95" s="645" t="s">
        <v>489</v>
      </c>
      <c r="E95" s="830" t="s">
        <v>819</v>
      </c>
      <c r="F95" s="704">
        <v>79504.47</v>
      </c>
      <c r="G95" s="704">
        <v>32000</v>
      </c>
      <c r="H95" s="704">
        <v>15959.28</v>
      </c>
      <c r="I95" s="704">
        <f>H95-J95</f>
        <v>-16040.72</v>
      </c>
      <c r="J95" s="704">
        <v>32000</v>
      </c>
      <c r="K95" s="704">
        <v>20000</v>
      </c>
      <c r="L95" s="704">
        <f aca="true" t="shared" si="26" ref="L95:L101">K95-G95</f>
        <v>-12000</v>
      </c>
      <c r="M95" s="704">
        <v>20000</v>
      </c>
      <c r="N95" s="709">
        <v>20000</v>
      </c>
      <c r="O95" s="991">
        <f t="shared" si="25"/>
        <v>99504.47</v>
      </c>
      <c r="Q95" s="1015">
        <f t="shared" si="22"/>
      </c>
    </row>
    <row r="96" spans="1:17" s="1014" customFormat="1" ht="30" customHeight="1">
      <c r="A96" s="761">
        <v>3</v>
      </c>
      <c r="B96" s="1088" t="s">
        <v>422</v>
      </c>
      <c r="C96" s="1090">
        <v>951</v>
      </c>
      <c r="D96" s="1011" t="s">
        <v>85</v>
      </c>
      <c r="E96" s="1012" t="s">
        <v>152</v>
      </c>
      <c r="F96" s="704"/>
      <c r="G96" s="704">
        <v>5000</v>
      </c>
      <c r="H96" s="704">
        <v>0</v>
      </c>
      <c r="I96" s="704">
        <f aca="true" t="shared" si="27" ref="I96:I101">H96-J96</f>
        <v>-5000</v>
      </c>
      <c r="J96" s="709">
        <v>5000</v>
      </c>
      <c r="K96" s="704">
        <v>5000</v>
      </c>
      <c r="L96" s="704">
        <f t="shared" si="26"/>
        <v>0</v>
      </c>
      <c r="M96" s="704">
        <v>5000</v>
      </c>
      <c r="N96" s="709">
        <v>5000</v>
      </c>
      <c r="O96" s="991">
        <f t="shared" si="25"/>
        <v>5000</v>
      </c>
      <c r="P96" s="833"/>
      <c r="Q96" s="1015">
        <f t="shared" si="22"/>
      </c>
    </row>
    <row r="97" spans="1:17" s="1014" customFormat="1" ht="30" customHeight="1">
      <c r="A97" s="761">
        <v>3</v>
      </c>
      <c r="B97" s="1088" t="s">
        <v>422</v>
      </c>
      <c r="C97" s="1090">
        <v>954</v>
      </c>
      <c r="D97" s="1011" t="s">
        <v>85</v>
      </c>
      <c r="E97" s="1012" t="s">
        <v>835</v>
      </c>
      <c r="F97" s="704"/>
      <c r="G97" s="704">
        <v>1000</v>
      </c>
      <c r="H97" s="704">
        <v>0</v>
      </c>
      <c r="I97" s="704">
        <f t="shared" si="27"/>
        <v>-1000</v>
      </c>
      <c r="J97" s="709">
        <v>1000</v>
      </c>
      <c r="K97" s="704">
        <v>1000</v>
      </c>
      <c r="L97" s="704">
        <f t="shared" si="26"/>
        <v>0</v>
      </c>
      <c r="M97" s="704">
        <v>1000</v>
      </c>
      <c r="N97" s="709">
        <v>1000</v>
      </c>
      <c r="O97" s="991">
        <f t="shared" si="25"/>
        <v>1000</v>
      </c>
      <c r="P97" s="833"/>
      <c r="Q97" s="1015">
        <f t="shared" si="22"/>
      </c>
    </row>
    <row r="98" spans="1:17" s="1014" customFormat="1" ht="30" customHeight="1">
      <c r="A98" s="761">
        <v>3</v>
      </c>
      <c r="B98" s="1088" t="s">
        <v>422</v>
      </c>
      <c r="C98" s="1090">
        <v>955</v>
      </c>
      <c r="D98" s="1011" t="s">
        <v>983</v>
      </c>
      <c r="E98" s="1012" t="s">
        <v>965</v>
      </c>
      <c r="F98" s="704">
        <v>20000</v>
      </c>
      <c r="G98" s="704">
        <v>28270</v>
      </c>
      <c r="H98" s="704">
        <v>20000</v>
      </c>
      <c r="I98" s="704">
        <f t="shared" si="27"/>
        <v>-8270</v>
      </c>
      <c r="J98" s="709">
        <v>28270</v>
      </c>
      <c r="K98" s="704">
        <v>28270</v>
      </c>
      <c r="L98" s="704">
        <f t="shared" si="26"/>
        <v>0</v>
      </c>
      <c r="M98" s="704">
        <v>28270</v>
      </c>
      <c r="N98" s="709">
        <v>28270</v>
      </c>
      <c r="O98" s="991">
        <f t="shared" si="25"/>
        <v>48270</v>
      </c>
      <c r="P98" s="833"/>
      <c r="Q98" s="1015">
        <f t="shared" si="22"/>
      </c>
    </row>
    <row r="99" spans="1:17" s="1014" customFormat="1" ht="54" customHeight="1">
      <c r="A99" s="626">
        <v>3</v>
      </c>
      <c r="B99" s="1097" t="s">
        <v>422</v>
      </c>
      <c r="C99" s="1090">
        <v>956</v>
      </c>
      <c r="D99" s="975" t="s">
        <v>816</v>
      </c>
      <c r="E99" s="1012" t="s">
        <v>1157</v>
      </c>
      <c r="F99" s="1004">
        <v>6382.18</v>
      </c>
      <c r="G99" s="716">
        <v>9600</v>
      </c>
      <c r="H99" s="716">
        <v>1611.2</v>
      </c>
      <c r="I99" s="704">
        <f t="shared" si="27"/>
        <v>-7988.8</v>
      </c>
      <c r="J99" s="718">
        <v>9600</v>
      </c>
      <c r="K99" s="716">
        <v>9600</v>
      </c>
      <c r="L99" s="704">
        <f t="shared" si="26"/>
        <v>0</v>
      </c>
      <c r="M99" s="716">
        <v>9600</v>
      </c>
      <c r="N99" s="716">
        <v>9600</v>
      </c>
      <c r="O99" s="991">
        <f t="shared" si="25"/>
        <v>15982.18</v>
      </c>
      <c r="P99" s="1007"/>
      <c r="Q99" s="1015">
        <f t="shared" si="22"/>
      </c>
    </row>
    <row r="100" spans="1:17" s="1014" customFormat="1" ht="45.75" customHeight="1">
      <c r="A100" s="626">
        <v>3</v>
      </c>
      <c r="B100" s="1097" t="s">
        <v>422</v>
      </c>
      <c r="C100" s="1090">
        <v>957</v>
      </c>
      <c r="D100" s="975" t="s">
        <v>816</v>
      </c>
      <c r="E100" s="830" t="s">
        <v>1158</v>
      </c>
      <c r="F100" s="1004">
        <v>1595.55</v>
      </c>
      <c r="G100" s="716">
        <v>2400</v>
      </c>
      <c r="H100" s="716">
        <v>402.8</v>
      </c>
      <c r="I100" s="704">
        <f t="shared" si="27"/>
        <v>-1997.2</v>
      </c>
      <c r="J100" s="718">
        <v>2400</v>
      </c>
      <c r="K100" s="716">
        <v>2400</v>
      </c>
      <c r="L100" s="704">
        <f t="shared" si="26"/>
        <v>0</v>
      </c>
      <c r="M100" s="716">
        <v>2400</v>
      </c>
      <c r="N100" s="716">
        <v>2400</v>
      </c>
      <c r="O100" s="991">
        <f t="shared" si="25"/>
        <v>3995.55</v>
      </c>
      <c r="P100" s="1007"/>
      <c r="Q100" s="1015">
        <f t="shared" si="22"/>
      </c>
    </row>
    <row r="101" spans="1:17" s="1014" customFormat="1" ht="30" customHeight="1" thickBot="1">
      <c r="A101" s="626">
        <v>3</v>
      </c>
      <c r="B101" s="1097" t="s">
        <v>422</v>
      </c>
      <c r="C101" s="1090">
        <v>966</v>
      </c>
      <c r="D101" s="646" t="s">
        <v>86</v>
      </c>
      <c r="E101" s="1016" t="s">
        <v>452</v>
      </c>
      <c r="F101" s="716"/>
      <c r="G101" s="716">
        <v>15000</v>
      </c>
      <c r="H101" s="716">
        <v>15120.8</v>
      </c>
      <c r="I101" s="704">
        <f t="shared" si="27"/>
        <v>120.79999999999927</v>
      </c>
      <c r="J101" s="718">
        <v>15000</v>
      </c>
      <c r="K101" s="716">
        <v>15000</v>
      </c>
      <c r="L101" s="704">
        <f t="shared" si="26"/>
        <v>0</v>
      </c>
      <c r="M101" s="716">
        <v>15000</v>
      </c>
      <c r="N101" s="709">
        <v>15000</v>
      </c>
      <c r="O101" s="991">
        <f t="shared" si="25"/>
        <v>15000</v>
      </c>
      <c r="Q101" s="1049">
        <f t="shared" si="22"/>
      </c>
    </row>
    <row r="102" spans="1:17" s="662" customFormat="1" ht="30" customHeight="1" thickBot="1">
      <c r="A102" s="1239" t="s">
        <v>593</v>
      </c>
      <c r="B102" s="1240"/>
      <c r="C102" s="1240"/>
      <c r="D102" s="1240"/>
      <c r="E102" s="1241"/>
      <c r="F102" s="705">
        <f aca="true" t="shared" si="28" ref="F102:O102">SUM(F94:F101)</f>
        <v>107482.2</v>
      </c>
      <c r="G102" s="705">
        <f t="shared" si="28"/>
        <v>93270</v>
      </c>
      <c r="H102" s="705">
        <f t="shared" si="28"/>
        <v>53094.08</v>
      </c>
      <c r="I102" s="705">
        <f t="shared" si="28"/>
        <v>-40175.92</v>
      </c>
      <c r="J102" s="705">
        <f t="shared" si="28"/>
        <v>93270</v>
      </c>
      <c r="K102" s="705">
        <f t="shared" si="28"/>
        <v>81270</v>
      </c>
      <c r="L102" s="705">
        <f t="shared" si="28"/>
        <v>-12000</v>
      </c>
      <c r="M102" s="705">
        <f t="shared" si="28"/>
        <v>81270</v>
      </c>
      <c r="N102" s="705">
        <f t="shared" si="28"/>
        <v>81270</v>
      </c>
      <c r="O102" s="654">
        <f t="shared" si="28"/>
        <v>188752.19999999998</v>
      </c>
      <c r="Q102" s="1048"/>
    </row>
    <row r="103" spans="1:17" s="395" customFormat="1" ht="30" customHeight="1" thickBot="1">
      <c r="A103" s="1244" t="s">
        <v>17</v>
      </c>
      <c r="B103" s="1245"/>
      <c r="C103" s="1245"/>
      <c r="D103" s="1245"/>
      <c r="E103" s="1245"/>
      <c r="F103" s="818">
        <f aca="true" t="shared" si="29" ref="F103:O103">F84+F89+F93+F102</f>
        <v>355616.73</v>
      </c>
      <c r="G103" s="818">
        <f t="shared" si="29"/>
        <v>318120</v>
      </c>
      <c r="H103" s="818">
        <f t="shared" si="29"/>
        <v>267001.64</v>
      </c>
      <c r="I103" s="818">
        <f t="shared" si="29"/>
        <v>-86118.35999999999</v>
      </c>
      <c r="J103" s="818">
        <f t="shared" si="29"/>
        <v>353120</v>
      </c>
      <c r="K103" s="818">
        <f t="shared" si="29"/>
        <v>301420</v>
      </c>
      <c r="L103" s="818">
        <f t="shared" si="29"/>
        <v>-16700</v>
      </c>
      <c r="M103" s="818">
        <f t="shared" si="29"/>
        <v>301420</v>
      </c>
      <c r="N103" s="818">
        <f t="shared" si="29"/>
        <v>301420</v>
      </c>
      <c r="O103" s="820">
        <f t="shared" si="29"/>
        <v>657036.73</v>
      </c>
      <c r="Q103" s="1086"/>
    </row>
    <row r="104" spans="1:17" s="395" customFormat="1" ht="30" customHeight="1" thickBot="1">
      <c r="A104" s="1242" t="s">
        <v>18</v>
      </c>
      <c r="B104" s="1243"/>
      <c r="C104" s="1243"/>
      <c r="D104" s="1243"/>
      <c r="E104" s="1243"/>
      <c r="F104" s="1243"/>
      <c r="G104" s="1243"/>
      <c r="H104" s="1243"/>
      <c r="I104" s="1243"/>
      <c r="J104" s="1243"/>
      <c r="K104" s="1243"/>
      <c r="L104" s="1243"/>
      <c r="M104" s="1243"/>
      <c r="N104" s="1243"/>
      <c r="O104" s="1243"/>
      <c r="Q104" s="370"/>
    </row>
    <row r="105" spans="1:17" s="397" customFormat="1" ht="63" customHeight="1" thickBot="1">
      <c r="A105" s="403" t="str">
        <f>A5</f>
        <v>Titolo</v>
      </c>
      <c r="B105" s="404" t="str">
        <f>B5</f>
        <v>Tipologia</v>
      </c>
      <c r="C105" s="404" t="str">
        <f>C5</f>
        <v>Capitolo</v>
      </c>
      <c r="D105" s="405" t="s">
        <v>431</v>
      </c>
      <c r="E105" s="404" t="str">
        <f>E5</f>
        <v>DESCRIZIONE</v>
      </c>
      <c r="F105" s="404" t="str">
        <f>F5</f>
        <v>RESIDUI PRESUNTI AL 17.01.2023</v>
      </c>
      <c r="G105" s="404" t="str">
        <f>G5</f>
        <v>PREVISIONE INIZIALE 2022</v>
      </c>
      <c r="H105" s="404" t="str">
        <f>H5</f>
        <v>ACCERTAMENTI AL 17.01.2023</v>
      </c>
      <c r="I105" s="404" t="str">
        <f>I5</f>
        <v>DIFFERENZA TRA ACCERTATO E ASSESTATO</v>
      </c>
      <c r="J105" s="710" t="str">
        <f>J5</f>
        <v>PREVISIONE 2022 ASSESTATA AL 17.01.2023</v>
      </c>
      <c r="K105" s="710" t="str">
        <f>K5</f>
        <v>PREVISIONE 2023</v>
      </c>
      <c r="L105" s="710"/>
      <c r="M105" s="710" t="str">
        <f>M5</f>
        <v>PREVISIONE 2024</v>
      </c>
      <c r="N105" s="421" t="str">
        <f>N5</f>
        <v>PREVISIONE 2025</v>
      </c>
      <c r="O105" s="668" t="str">
        <f>O5</f>
        <v>PREVISIONE DI CASSA 2023</v>
      </c>
      <c r="Q105" s="370"/>
    </row>
    <row r="106" spans="1:17" ht="30" customHeight="1">
      <c r="A106" s="381">
        <v>4</v>
      </c>
      <c r="B106" s="1093" t="s">
        <v>186</v>
      </c>
      <c r="C106" s="1094">
        <v>973</v>
      </c>
      <c r="D106" s="398" t="s">
        <v>148</v>
      </c>
      <c r="E106" s="424" t="s">
        <v>945</v>
      </c>
      <c r="F106" s="425">
        <v>5000</v>
      </c>
      <c r="G106" s="425"/>
      <c r="H106" s="425"/>
      <c r="I106" s="425"/>
      <c r="J106" s="702"/>
      <c r="K106" s="702"/>
      <c r="L106" s="703"/>
      <c r="M106" s="703"/>
      <c r="N106" s="383"/>
      <c r="O106" s="653">
        <f>F106+K106</f>
        <v>5000</v>
      </c>
      <c r="Q106" s="1044">
        <f>IF(O106&gt;(F106+K106),"ERRORE","")</f>
      </c>
    </row>
    <row r="107" spans="1:17" ht="30" customHeight="1">
      <c r="A107" s="547">
        <v>4</v>
      </c>
      <c r="B107" s="1093" t="s">
        <v>186</v>
      </c>
      <c r="C107" s="1094">
        <v>975</v>
      </c>
      <c r="D107" s="398" t="s">
        <v>148</v>
      </c>
      <c r="E107" s="424" t="s">
        <v>1033</v>
      </c>
      <c r="F107" s="425"/>
      <c r="G107" s="425"/>
      <c r="H107" s="425"/>
      <c r="I107" s="425"/>
      <c r="J107" s="702"/>
      <c r="K107" s="702"/>
      <c r="L107" s="703"/>
      <c r="M107" s="703"/>
      <c r="N107" s="383"/>
      <c r="O107" s="653">
        <f>F107+K107</f>
        <v>0</v>
      </c>
      <c r="Q107" s="385">
        <f>IF(O107&gt;(F107+K107),"ERRORE","")</f>
      </c>
    </row>
    <row r="108" spans="1:17" ht="30" customHeight="1">
      <c r="A108" s="547">
        <v>4</v>
      </c>
      <c r="B108" s="1093" t="s">
        <v>1012</v>
      </c>
      <c r="C108" s="1094" t="s">
        <v>1101</v>
      </c>
      <c r="D108" s="398" t="s">
        <v>980</v>
      </c>
      <c r="E108" s="424" t="s">
        <v>1122</v>
      </c>
      <c r="F108" s="425"/>
      <c r="G108" s="425"/>
      <c r="H108" s="425"/>
      <c r="I108" s="425"/>
      <c r="J108" s="1169">
        <v>79992</v>
      </c>
      <c r="K108" s="1195">
        <v>79992</v>
      </c>
      <c r="L108" s="703"/>
      <c r="M108" s="703"/>
      <c r="N108" s="383"/>
      <c r="O108" s="653">
        <f>F108+K108</f>
        <v>79992</v>
      </c>
      <c r="Q108" s="385">
        <f>IF(O108&gt;(F108+K108),"ERRORE","")</f>
      </c>
    </row>
    <row r="109" spans="1:17" ht="30" customHeight="1">
      <c r="A109" s="547">
        <v>4</v>
      </c>
      <c r="B109" s="1093" t="s">
        <v>1012</v>
      </c>
      <c r="C109" s="1094" t="s">
        <v>1102</v>
      </c>
      <c r="D109" s="398" t="s">
        <v>980</v>
      </c>
      <c r="E109" s="424" t="s">
        <v>1123</v>
      </c>
      <c r="F109" s="425"/>
      <c r="G109" s="425"/>
      <c r="H109" s="425"/>
      <c r="I109" s="425"/>
      <c r="J109" s="1169">
        <v>14000</v>
      </c>
      <c r="K109" s="1195">
        <v>14000</v>
      </c>
      <c r="L109" s="703"/>
      <c r="M109" s="703"/>
      <c r="N109" s="383"/>
      <c r="O109" s="653">
        <f>F109+K109</f>
        <v>14000</v>
      </c>
      <c r="Q109" s="385"/>
    </row>
    <row r="110" spans="1:17" ht="30" customHeight="1">
      <c r="A110" s="547">
        <v>4</v>
      </c>
      <c r="B110" s="1093" t="s">
        <v>1012</v>
      </c>
      <c r="C110" s="1094" t="s">
        <v>1103</v>
      </c>
      <c r="D110" s="398" t="s">
        <v>980</v>
      </c>
      <c r="E110" s="424" t="s">
        <v>1124</v>
      </c>
      <c r="F110" s="425"/>
      <c r="G110" s="425"/>
      <c r="H110" s="425"/>
      <c r="I110" s="425"/>
      <c r="J110" s="1169">
        <v>8505</v>
      </c>
      <c r="K110" s="1195">
        <v>8505</v>
      </c>
      <c r="L110" s="703"/>
      <c r="M110" s="703"/>
      <c r="N110" s="383"/>
      <c r="O110" s="653">
        <f>F110+K110</f>
        <v>8505</v>
      </c>
      <c r="Q110" s="385"/>
    </row>
    <row r="111" spans="1:17" ht="30" customHeight="1">
      <c r="A111" s="547">
        <v>4</v>
      </c>
      <c r="B111" s="1093" t="s">
        <v>186</v>
      </c>
      <c r="C111" s="1094">
        <v>976</v>
      </c>
      <c r="D111" s="398" t="s">
        <v>148</v>
      </c>
      <c r="E111" s="424" t="s">
        <v>843</v>
      </c>
      <c r="F111" s="425"/>
      <c r="G111" s="425"/>
      <c r="H111" s="425"/>
      <c r="I111" s="425"/>
      <c r="J111" s="702"/>
      <c r="K111" s="702"/>
      <c r="L111" s="703"/>
      <c r="M111" s="703"/>
      <c r="N111" s="383"/>
      <c r="O111" s="653">
        <f>F111+K111</f>
        <v>0</v>
      </c>
      <c r="Q111" s="385">
        <f aca="true" t="shared" si="30" ref="Q111:Q127">IF(O111&gt;(F111+K111),"ERRORE","")</f>
      </c>
    </row>
    <row r="112" spans="1:17" ht="30" customHeight="1">
      <c r="A112" s="547">
        <v>5</v>
      </c>
      <c r="B112" s="1093" t="s">
        <v>1012</v>
      </c>
      <c r="C112" s="1094" t="s">
        <v>1013</v>
      </c>
      <c r="D112" s="398" t="s">
        <v>148</v>
      </c>
      <c r="E112" s="424" t="s">
        <v>1052</v>
      </c>
      <c r="F112" s="425">
        <v>10000</v>
      </c>
      <c r="G112" s="425"/>
      <c r="H112" s="425">
        <v>10000</v>
      </c>
      <c r="I112" s="425"/>
      <c r="J112" s="1169">
        <v>10000</v>
      </c>
      <c r="K112" s="1195">
        <v>5000</v>
      </c>
      <c r="L112" s="703"/>
      <c r="M112" s="703"/>
      <c r="N112" s="383"/>
      <c r="O112" s="653">
        <f aca="true" t="shared" si="31" ref="O111:O128">F112+K112</f>
        <v>15000</v>
      </c>
      <c r="Q112" s="385">
        <f t="shared" si="30"/>
      </c>
    </row>
    <row r="113" spans="1:17" ht="30" customHeight="1">
      <c r="A113" s="547">
        <v>4</v>
      </c>
      <c r="B113" s="1093" t="s">
        <v>186</v>
      </c>
      <c r="C113" s="1092">
        <v>977</v>
      </c>
      <c r="D113" s="398" t="s">
        <v>148</v>
      </c>
      <c r="E113" s="424" t="s">
        <v>852</v>
      </c>
      <c r="F113" s="425"/>
      <c r="G113" s="425"/>
      <c r="H113" s="425"/>
      <c r="I113" s="425"/>
      <c r="J113" s="702"/>
      <c r="K113" s="702"/>
      <c r="L113" s="703"/>
      <c r="M113" s="703"/>
      <c r="N113" s="383"/>
      <c r="O113" s="653">
        <f t="shared" si="31"/>
        <v>0</v>
      </c>
      <c r="Q113" s="385">
        <f t="shared" si="30"/>
      </c>
    </row>
    <row r="114" spans="1:17" ht="30" customHeight="1">
      <c r="A114" s="1118">
        <v>4</v>
      </c>
      <c r="B114" s="1093" t="s">
        <v>186</v>
      </c>
      <c r="C114" s="1090" t="s">
        <v>601</v>
      </c>
      <c r="D114" s="394" t="s">
        <v>148</v>
      </c>
      <c r="E114" s="426" t="s">
        <v>848</v>
      </c>
      <c r="F114" s="402"/>
      <c r="G114" s="402"/>
      <c r="H114" s="402"/>
      <c r="I114" s="402"/>
      <c r="J114" s="615"/>
      <c r="K114" s="615"/>
      <c r="L114" s="614"/>
      <c r="M114" s="614"/>
      <c r="N114" s="388"/>
      <c r="O114" s="653">
        <f t="shared" si="31"/>
        <v>0</v>
      </c>
      <c r="Q114" s="385">
        <f t="shared" si="30"/>
      </c>
    </row>
    <row r="115" spans="1:17" ht="45" customHeight="1">
      <c r="A115" s="1118">
        <v>4</v>
      </c>
      <c r="B115" s="1093" t="s">
        <v>186</v>
      </c>
      <c r="C115" s="1090" t="s">
        <v>602</v>
      </c>
      <c r="D115" s="394" t="s">
        <v>148</v>
      </c>
      <c r="E115" s="426" t="s">
        <v>1060</v>
      </c>
      <c r="F115" s="402"/>
      <c r="G115" s="402"/>
      <c r="H115" s="402"/>
      <c r="I115" s="402"/>
      <c r="J115" s="1170">
        <v>190000</v>
      </c>
      <c r="K115" s="1149">
        <v>190000</v>
      </c>
      <c r="L115" s="614"/>
      <c r="M115" s="614"/>
      <c r="N115" s="615"/>
      <c r="O115" s="653">
        <f t="shared" si="31"/>
        <v>190000</v>
      </c>
      <c r="Q115" s="385">
        <f t="shared" si="30"/>
      </c>
    </row>
    <row r="116" spans="1:17" ht="30" customHeight="1">
      <c r="A116" s="1118">
        <v>4</v>
      </c>
      <c r="B116" s="1093" t="s">
        <v>186</v>
      </c>
      <c r="C116" s="1090" t="s">
        <v>603</v>
      </c>
      <c r="D116" s="394" t="s">
        <v>980</v>
      </c>
      <c r="E116" s="426" t="s">
        <v>604</v>
      </c>
      <c r="F116" s="402"/>
      <c r="G116" s="402"/>
      <c r="H116" s="402"/>
      <c r="I116" s="402"/>
      <c r="J116" s="615"/>
      <c r="K116" s="615"/>
      <c r="L116" s="614"/>
      <c r="M116" s="614"/>
      <c r="N116" s="615"/>
      <c r="O116" s="653">
        <f t="shared" si="31"/>
        <v>0</v>
      </c>
      <c r="Q116" s="385">
        <f t="shared" si="30"/>
      </c>
    </row>
    <row r="117" spans="1:17" ht="30" customHeight="1">
      <c r="A117" s="1118">
        <v>4</v>
      </c>
      <c r="B117" s="1093" t="s">
        <v>186</v>
      </c>
      <c r="C117" s="1090" t="s">
        <v>836</v>
      </c>
      <c r="D117" s="394" t="s">
        <v>981</v>
      </c>
      <c r="E117" s="426" t="s">
        <v>839</v>
      </c>
      <c r="F117" s="402"/>
      <c r="G117" s="402"/>
      <c r="H117" s="402"/>
      <c r="I117" s="402"/>
      <c r="J117" s="615"/>
      <c r="K117" s="615"/>
      <c r="L117" s="614"/>
      <c r="M117" s="614"/>
      <c r="N117" s="615"/>
      <c r="O117" s="653">
        <f t="shared" si="31"/>
        <v>0</v>
      </c>
      <c r="Q117" s="385">
        <f t="shared" si="30"/>
      </c>
    </row>
    <row r="118" spans="1:17" ht="30" customHeight="1">
      <c r="A118" s="1118">
        <v>4</v>
      </c>
      <c r="B118" s="1093" t="s">
        <v>186</v>
      </c>
      <c r="C118" s="1090" t="s">
        <v>908</v>
      </c>
      <c r="D118" s="394" t="s">
        <v>982</v>
      </c>
      <c r="E118" s="426" t="s">
        <v>839</v>
      </c>
      <c r="F118" s="402"/>
      <c r="G118" s="402"/>
      <c r="H118" s="402"/>
      <c r="I118" s="402"/>
      <c r="J118" s="615"/>
      <c r="K118" s="615"/>
      <c r="L118" s="614"/>
      <c r="M118" s="614"/>
      <c r="N118" s="615"/>
      <c r="O118" s="653">
        <f t="shared" si="31"/>
        <v>0</v>
      </c>
      <c r="Q118" s="385">
        <f t="shared" si="30"/>
      </c>
    </row>
    <row r="119" spans="1:17" ht="30" customHeight="1">
      <c r="A119" s="547">
        <v>4</v>
      </c>
      <c r="B119" s="1093" t="s">
        <v>186</v>
      </c>
      <c r="C119" s="1092" t="s">
        <v>971</v>
      </c>
      <c r="D119" s="394" t="s">
        <v>980</v>
      </c>
      <c r="E119" s="424" t="s">
        <v>1040</v>
      </c>
      <c r="F119" s="425">
        <v>10000</v>
      </c>
      <c r="G119" s="425"/>
      <c r="H119" s="425">
        <v>10000</v>
      </c>
      <c r="I119" s="425"/>
      <c r="J119" s="1169">
        <v>364000</v>
      </c>
      <c r="K119" s="702"/>
      <c r="L119" s="703"/>
      <c r="M119" s="703"/>
      <c r="N119" s="1201">
        <v>364000</v>
      </c>
      <c r="O119" s="653">
        <f t="shared" si="31"/>
        <v>10000</v>
      </c>
      <c r="Q119" s="385">
        <f t="shared" si="30"/>
      </c>
    </row>
    <row r="120" spans="1:17" ht="30" customHeight="1">
      <c r="A120" s="547">
        <v>4</v>
      </c>
      <c r="B120" s="1093" t="s">
        <v>186</v>
      </c>
      <c r="C120" s="1092" t="s">
        <v>972</v>
      </c>
      <c r="D120" s="394" t="s">
        <v>980</v>
      </c>
      <c r="E120" s="424" t="s">
        <v>1051</v>
      </c>
      <c r="F120" s="425"/>
      <c r="G120" s="425"/>
      <c r="H120" s="425"/>
      <c r="I120" s="425"/>
      <c r="J120" s="1169">
        <v>150000</v>
      </c>
      <c r="K120" s="1150">
        <v>153000</v>
      </c>
      <c r="L120" s="713"/>
      <c r="M120" s="703"/>
      <c r="N120" s="702"/>
      <c r="O120" s="653">
        <f t="shared" si="31"/>
        <v>153000</v>
      </c>
      <c r="Q120" s="385">
        <f t="shared" si="30"/>
      </c>
    </row>
    <row r="121" spans="1:17" ht="30" customHeight="1">
      <c r="A121" s="547">
        <v>4</v>
      </c>
      <c r="B121" s="1093" t="s">
        <v>1012</v>
      </c>
      <c r="C121" s="1092" t="s">
        <v>1014</v>
      </c>
      <c r="D121" s="394" t="s">
        <v>980</v>
      </c>
      <c r="E121" s="424" t="s">
        <v>1019</v>
      </c>
      <c r="F121" s="425"/>
      <c r="G121" s="425"/>
      <c r="H121" s="425"/>
      <c r="I121" s="425"/>
      <c r="J121" s="1169">
        <v>40000</v>
      </c>
      <c r="K121" s="1150">
        <v>340000</v>
      </c>
      <c r="L121" s="713"/>
      <c r="M121" s="1200">
        <v>353000</v>
      </c>
      <c r="N121" s="702"/>
      <c r="O121" s="653">
        <f t="shared" si="31"/>
        <v>340000</v>
      </c>
      <c r="Q121" s="385">
        <f t="shared" si="30"/>
      </c>
    </row>
    <row r="122" spans="1:17" ht="30" customHeight="1">
      <c r="A122" s="547">
        <v>4</v>
      </c>
      <c r="B122" s="1093" t="s">
        <v>1012</v>
      </c>
      <c r="C122" s="1092" t="s">
        <v>1015</v>
      </c>
      <c r="D122" s="394" t="s">
        <v>980</v>
      </c>
      <c r="E122" s="424" t="s">
        <v>1053</v>
      </c>
      <c r="F122" s="425">
        <v>53000</v>
      </c>
      <c r="G122" s="425"/>
      <c r="H122" s="425">
        <v>53000</v>
      </c>
      <c r="I122" s="425"/>
      <c r="J122" s="1169">
        <v>53000</v>
      </c>
      <c r="K122" s="1150">
        <v>477000</v>
      </c>
      <c r="L122" s="713"/>
      <c r="M122" s="703"/>
      <c r="N122" s="702"/>
      <c r="O122" s="653">
        <f t="shared" si="31"/>
        <v>530000</v>
      </c>
      <c r="Q122" s="385">
        <f t="shared" si="30"/>
      </c>
    </row>
    <row r="123" spans="1:17" ht="30" customHeight="1">
      <c r="A123" s="547">
        <v>4</v>
      </c>
      <c r="B123" s="1093" t="s">
        <v>1012</v>
      </c>
      <c r="C123" s="1092" t="s">
        <v>1016</v>
      </c>
      <c r="D123" s="394" t="s">
        <v>980</v>
      </c>
      <c r="E123" s="424" t="s">
        <v>1020</v>
      </c>
      <c r="F123" s="425"/>
      <c r="G123" s="425"/>
      <c r="H123" s="425"/>
      <c r="I123" s="425"/>
      <c r="J123" s="1169">
        <v>63000</v>
      </c>
      <c r="K123" s="1150">
        <v>315000</v>
      </c>
      <c r="L123" s="713"/>
      <c r="M123" s="1200">
        <v>315000</v>
      </c>
      <c r="N123" s="702"/>
      <c r="O123" s="653">
        <f t="shared" si="31"/>
        <v>315000</v>
      </c>
      <c r="Q123" s="385">
        <f t="shared" si="30"/>
      </c>
    </row>
    <row r="124" spans="1:17" ht="30" customHeight="1">
      <c r="A124" s="547">
        <v>4</v>
      </c>
      <c r="B124" s="1093" t="s">
        <v>1012</v>
      </c>
      <c r="C124" s="1092" t="s">
        <v>1017</v>
      </c>
      <c r="D124" s="394" t="s">
        <v>980</v>
      </c>
      <c r="E124" s="424" t="s">
        <v>1021</v>
      </c>
      <c r="F124" s="425"/>
      <c r="G124" s="425"/>
      <c r="H124" s="425"/>
      <c r="I124" s="425"/>
      <c r="J124" s="1169">
        <v>28000</v>
      </c>
      <c r="K124" s="1202">
        <v>140000</v>
      </c>
      <c r="L124" s="713"/>
      <c r="M124" s="1200">
        <v>140000</v>
      </c>
      <c r="N124" s="702"/>
      <c r="O124" s="653">
        <f t="shared" si="31"/>
        <v>140000</v>
      </c>
      <c r="Q124" s="385">
        <f t="shared" si="30"/>
      </c>
    </row>
    <row r="125" spans="1:17" ht="30" customHeight="1">
      <c r="A125" s="547">
        <v>4</v>
      </c>
      <c r="B125" s="1093" t="s">
        <v>1012</v>
      </c>
      <c r="C125" s="1092" t="s">
        <v>1018</v>
      </c>
      <c r="D125" s="394" t="s">
        <v>980</v>
      </c>
      <c r="E125" s="424" t="s">
        <v>1029</v>
      </c>
      <c r="F125" s="425"/>
      <c r="G125" s="425"/>
      <c r="H125" s="425">
        <v>709.8</v>
      </c>
      <c r="I125" s="425"/>
      <c r="J125" s="1169">
        <v>7098</v>
      </c>
      <c r="K125" s="1202">
        <v>6558</v>
      </c>
      <c r="L125" s="713"/>
      <c r="M125" s="703"/>
      <c r="N125" s="702"/>
      <c r="O125" s="653">
        <f t="shared" si="31"/>
        <v>6558</v>
      </c>
      <c r="Q125" s="385">
        <f t="shared" si="30"/>
      </c>
    </row>
    <row r="126" spans="1:17" ht="30" customHeight="1">
      <c r="A126" s="547">
        <v>4</v>
      </c>
      <c r="B126" s="1093" t="s">
        <v>1057</v>
      </c>
      <c r="C126" s="1092" t="s">
        <v>1058</v>
      </c>
      <c r="D126" s="394" t="s">
        <v>980</v>
      </c>
      <c r="E126" s="424" t="s">
        <v>1127</v>
      </c>
      <c r="F126" s="425"/>
      <c r="G126" s="425"/>
      <c r="H126" s="425"/>
      <c r="I126" s="425"/>
      <c r="J126" s="702"/>
      <c r="K126" s="1150">
        <v>210000</v>
      </c>
      <c r="L126" s="713"/>
      <c r="M126" s="703"/>
      <c r="N126" s="702"/>
      <c r="O126" s="653">
        <f t="shared" si="31"/>
        <v>210000</v>
      </c>
      <c r="Q126" s="385">
        <f t="shared" si="30"/>
      </c>
    </row>
    <row r="127" spans="1:17" ht="30" customHeight="1">
      <c r="A127" s="1118">
        <v>4</v>
      </c>
      <c r="B127" s="1093" t="s">
        <v>186</v>
      </c>
      <c r="C127" s="1090">
        <v>978</v>
      </c>
      <c r="D127" s="394" t="s">
        <v>148</v>
      </c>
      <c r="E127" s="426" t="s">
        <v>1076</v>
      </c>
      <c r="F127" s="402">
        <v>25000</v>
      </c>
      <c r="G127" s="402"/>
      <c r="H127" s="402"/>
      <c r="I127" s="402"/>
      <c r="J127" s="615"/>
      <c r="K127" s="615"/>
      <c r="L127" s="614"/>
      <c r="M127" s="1199">
        <v>650000</v>
      </c>
      <c r="N127" s="615"/>
      <c r="O127" s="653">
        <f t="shared" si="31"/>
        <v>25000</v>
      </c>
      <c r="Q127" s="385">
        <f t="shared" si="30"/>
      </c>
    </row>
    <row r="128" spans="1:17" ht="30" customHeight="1">
      <c r="A128" s="1118">
        <v>4</v>
      </c>
      <c r="B128" s="1093" t="s">
        <v>186</v>
      </c>
      <c r="C128" s="1090" t="s">
        <v>1075</v>
      </c>
      <c r="D128" s="394" t="s">
        <v>980</v>
      </c>
      <c r="E128" s="426" t="s">
        <v>1077</v>
      </c>
      <c r="F128" s="402"/>
      <c r="G128" s="402"/>
      <c r="H128" s="402"/>
      <c r="I128" s="402"/>
      <c r="J128" s="615"/>
      <c r="K128" s="615"/>
      <c r="L128" s="614"/>
      <c r="M128" s="614"/>
      <c r="N128" s="1155">
        <v>350000</v>
      </c>
      <c r="O128" s="653">
        <f t="shared" si="31"/>
        <v>0</v>
      </c>
      <c r="Q128" s="385"/>
    </row>
    <row r="129" spans="1:17" ht="30" customHeight="1">
      <c r="A129" s="1118">
        <v>4</v>
      </c>
      <c r="B129" s="1093" t="s">
        <v>186</v>
      </c>
      <c r="C129" s="1090">
        <v>979</v>
      </c>
      <c r="D129" s="394" t="s">
        <v>148</v>
      </c>
      <c r="E129" s="426" t="s">
        <v>633</v>
      </c>
      <c r="F129" s="402">
        <v>25000</v>
      </c>
      <c r="G129" s="402"/>
      <c r="H129" s="402"/>
      <c r="I129" s="402"/>
      <c r="J129" s="615"/>
      <c r="K129" s="615"/>
      <c r="L129" s="614"/>
      <c r="M129" s="614"/>
      <c r="N129" s="615"/>
      <c r="O129" s="653">
        <f aca="true" t="shared" si="32" ref="O129:O163">F129+K129</f>
        <v>25000</v>
      </c>
      <c r="Q129" s="385">
        <f aca="true" t="shared" si="33" ref="Q129:Q166">IF(O129&gt;(F129+K129),"ERRORE","")</f>
      </c>
    </row>
    <row r="130" spans="1:17" ht="30" customHeight="1">
      <c r="A130" s="1118">
        <v>4</v>
      </c>
      <c r="B130" s="1093" t="s">
        <v>186</v>
      </c>
      <c r="C130" s="1091">
        <v>980</v>
      </c>
      <c r="D130" s="394" t="s">
        <v>148</v>
      </c>
      <c r="E130" s="426" t="s">
        <v>1022</v>
      </c>
      <c r="F130" s="402"/>
      <c r="G130" s="402"/>
      <c r="H130" s="402"/>
      <c r="I130" s="402"/>
      <c r="J130" s="1170">
        <v>290000</v>
      </c>
      <c r="K130" s="1149">
        <v>290000</v>
      </c>
      <c r="L130" s="614"/>
      <c r="M130" s="1199">
        <v>300000</v>
      </c>
      <c r="N130" s="615"/>
      <c r="O130" s="653">
        <f t="shared" si="32"/>
        <v>290000</v>
      </c>
      <c r="Q130" s="385">
        <f t="shared" si="33"/>
      </c>
    </row>
    <row r="131" spans="1:17" ht="30" customHeight="1">
      <c r="A131" s="1118">
        <v>4</v>
      </c>
      <c r="B131" s="1093" t="s">
        <v>186</v>
      </c>
      <c r="C131" s="1090">
        <v>981</v>
      </c>
      <c r="D131" s="645" t="s">
        <v>6</v>
      </c>
      <c r="E131" s="426" t="s">
        <v>831</v>
      </c>
      <c r="F131" s="402"/>
      <c r="G131" s="402"/>
      <c r="H131" s="402"/>
      <c r="I131" s="402"/>
      <c r="J131" s="615"/>
      <c r="K131" s="615"/>
      <c r="L131" s="614"/>
      <c r="M131" s="614"/>
      <c r="N131" s="615"/>
      <c r="O131" s="653">
        <f t="shared" si="32"/>
        <v>0</v>
      </c>
      <c r="Q131" s="385">
        <f t="shared" si="33"/>
      </c>
    </row>
    <row r="132" spans="1:17" ht="30" customHeight="1">
      <c r="A132" s="1118">
        <v>4</v>
      </c>
      <c r="B132" s="1093" t="s">
        <v>186</v>
      </c>
      <c r="C132" s="1091">
        <v>982</v>
      </c>
      <c r="D132" s="645" t="s">
        <v>6</v>
      </c>
      <c r="E132" s="426" t="s">
        <v>1073</v>
      </c>
      <c r="F132" s="402"/>
      <c r="G132" s="402"/>
      <c r="H132" s="402"/>
      <c r="I132" s="402"/>
      <c r="J132" s="615"/>
      <c r="K132" s="615"/>
      <c r="L132" s="614"/>
      <c r="M132" s="1199">
        <v>100000</v>
      </c>
      <c r="N132" s="615"/>
      <c r="O132" s="653">
        <f t="shared" si="32"/>
        <v>0</v>
      </c>
      <c r="Q132" s="385">
        <f t="shared" si="33"/>
      </c>
    </row>
    <row r="133" spans="1:17" ht="30" customHeight="1">
      <c r="A133" s="1118">
        <v>4</v>
      </c>
      <c r="B133" s="1093" t="s">
        <v>186</v>
      </c>
      <c r="C133" s="1090">
        <v>984</v>
      </c>
      <c r="D133" s="394" t="s">
        <v>148</v>
      </c>
      <c r="E133" s="426" t="s">
        <v>609</v>
      </c>
      <c r="F133" s="402"/>
      <c r="G133" s="402"/>
      <c r="H133" s="402"/>
      <c r="I133" s="402"/>
      <c r="J133" s="615"/>
      <c r="K133" s="615"/>
      <c r="L133" s="614"/>
      <c r="M133" s="614"/>
      <c r="N133" s="615"/>
      <c r="O133" s="653">
        <f t="shared" si="32"/>
        <v>0</v>
      </c>
      <c r="Q133" s="385">
        <f t="shared" si="33"/>
      </c>
    </row>
    <row r="134" spans="1:17" ht="30" customHeight="1">
      <c r="A134" s="1118">
        <v>4</v>
      </c>
      <c r="B134" s="1093" t="s">
        <v>186</v>
      </c>
      <c r="C134" s="1091">
        <v>987</v>
      </c>
      <c r="D134" s="645" t="s">
        <v>6</v>
      </c>
      <c r="E134" s="426" t="s">
        <v>550</v>
      </c>
      <c r="F134" s="402"/>
      <c r="G134" s="402"/>
      <c r="H134" s="402"/>
      <c r="I134" s="402"/>
      <c r="J134" s="615"/>
      <c r="K134" s="615"/>
      <c r="L134" s="614"/>
      <c r="M134" s="614"/>
      <c r="N134" s="388"/>
      <c r="O134" s="653">
        <f t="shared" si="32"/>
        <v>0</v>
      </c>
      <c r="Q134" s="385">
        <f t="shared" si="33"/>
      </c>
    </row>
    <row r="135" spans="1:17" ht="30" customHeight="1">
      <c r="A135" s="1118">
        <v>4</v>
      </c>
      <c r="B135" s="1093" t="s">
        <v>186</v>
      </c>
      <c r="C135" s="1090">
        <v>988</v>
      </c>
      <c r="D135" s="401" t="s">
        <v>6</v>
      </c>
      <c r="E135" s="426" t="s">
        <v>1159</v>
      </c>
      <c r="F135" s="402">
        <v>737000</v>
      </c>
      <c r="G135" s="402"/>
      <c r="H135" s="402">
        <v>730831.46</v>
      </c>
      <c r="I135" s="402"/>
      <c r="J135" s="1170">
        <v>730831.46</v>
      </c>
      <c r="K135" s="615"/>
      <c r="L135" s="614"/>
      <c r="M135" s="614"/>
      <c r="N135" s="615"/>
      <c r="O135" s="653">
        <f t="shared" si="32"/>
        <v>737000</v>
      </c>
      <c r="Q135" s="385">
        <f t="shared" si="33"/>
      </c>
    </row>
    <row r="136" spans="1:17" ht="30" customHeight="1">
      <c r="A136" s="1118">
        <v>4</v>
      </c>
      <c r="B136" s="1093" t="s">
        <v>186</v>
      </c>
      <c r="C136" s="1090">
        <v>989</v>
      </c>
      <c r="D136" s="401" t="s">
        <v>6</v>
      </c>
      <c r="E136" s="426" t="s">
        <v>605</v>
      </c>
      <c r="F136" s="402"/>
      <c r="G136" s="402"/>
      <c r="H136" s="402"/>
      <c r="I136" s="402"/>
      <c r="J136" s="615"/>
      <c r="K136" s="615"/>
      <c r="L136" s="615"/>
      <c r="M136" s="615"/>
      <c r="N136" s="615"/>
      <c r="O136" s="653">
        <f t="shared" si="32"/>
        <v>0</v>
      </c>
      <c r="Q136" s="385">
        <f t="shared" si="33"/>
      </c>
    </row>
    <row r="137" spans="1:17" ht="30" customHeight="1">
      <c r="A137" s="1118">
        <v>4</v>
      </c>
      <c r="B137" s="1093" t="s">
        <v>186</v>
      </c>
      <c r="C137" s="1090">
        <v>990</v>
      </c>
      <c r="D137" s="401" t="s">
        <v>6</v>
      </c>
      <c r="E137" s="426" t="s">
        <v>634</v>
      </c>
      <c r="F137" s="402"/>
      <c r="G137" s="402"/>
      <c r="H137" s="402"/>
      <c r="I137" s="402"/>
      <c r="J137" s="615"/>
      <c r="K137" s="615"/>
      <c r="L137" s="614"/>
      <c r="M137" s="614"/>
      <c r="N137" s="615"/>
      <c r="O137" s="653">
        <f t="shared" si="32"/>
        <v>0</v>
      </c>
      <c r="Q137" s="385">
        <f t="shared" si="33"/>
      </c>
    </row>
    <row r="138" spans="1:17" ht="30" customHeight="1">
      <c r="A138" s="1118">
        <v>4</v>
      </c>
      <c r="B138" s="1093" t="s">
        <v>186</v>
      </c>
      <c r="C138" s="1090">
        <v>991</v>
      </c>
      <c r="D138" s="401" t="s">
        <v>6</v>
      </c>
      <c r="E138" s="426" t="s">
        <v>1023</v>
      </c>
      <c r="F138" s="402">
        <v>1880000</v>
      </c>
      <c r="G138" s="402"/>
      <c r="H138" s="402">
        <v>1879970</v>
      </c>
      <c r="I138" s="402"/>
      <c r="J138" s="1170">
        <v>1879970</v>
      </c>
      <c r="K138" s="615"/>
      <c r="L138" s="614"/>
      <c r="M138" s="614"/>
      <c r="N138" s="615"/>
      <c r="O138" s="653">
        <f t="shared" si="32"/>
        <v>1880000</v>
      </c>
      <c r="Q138" s="385">
        <f t="shared" si="33"/>
      </c>
    </row>
    <row r="139" spans="1:17" ht="30" customHeight="1">
      <c r="A139" s="1118">
        <v>4</v>
      </c>
      <c r="B139" s="1093" t="s">
        <v>186</v>
      </c>
      <c r="C139" s="1090" t="s">
        <v>619</v>
      </c>
      <c r="D139" s="401" t="s">
        <v>6</v>
      </c>
      <c r="E139" s="426" t="s">
        <v>1024</v>
      </c>
      <c r="F139" s="402">
        <v>100000</v>
      </c>
      <c r="G139" s="402"/>
      <c r="H139" s="402">
        <v>150000</v>
      </c>
      <c r="I139" s="402"/>
      <c r="J139" s="1170">
        <v>150000</v>
      </c>
      <c r="K139" s="1149">
        <v>50000</v>
      </c>
      <c r="L139" s="614"/>
      <c r="M139" s="1199">
        <v>50000</v>
      </c>
      <c r="N139" s="1158">
        <v>50000</v>
      </c>
      <c r="O139" s="653">
        <f t="shared" si="32"/>
        <v>150000</v>
      </c>
      <c r="Q139" s="385">
        <f t="shared" si="33"/>
      </c>
    </row>
    <row r="140" spans="1:17" ht="30" customHeight="1">
      <c r="A140" s="1118">
        <v>4</v>
      </c>
      <c r="B140" s="1093" t="s">
        <v>186</v>
      </c>
      <c r="C140" s="1090" t="s">
        <v>620</v>
      </c>
      <c r="D140" s="401" t="s">
        <v>6</v>
      </c>
      <c r="E140" s="426" t="s">
        <v>635</v>
      </c>
      <c r="F140" s="402"/>
      <c r="G140" s="402"/>
      <c r="H140" s="402"/>
      <c r="I140" s="402"/>
      <c r="J140" s="615"/>
      <c r="K140" s="615"/>
      <c r="L140" s="614"/>
      <c r="M140" s="614"/>
      <c r="N140" s="615"/>
      <c r="O140" s="653">
        <f t="shared" si="32"/>
        <v>0</v>
      </c>
      <c r="Q140" s="385">
        <f t="shared" si="33"/>
      </c>
    </row>
    <row r="141" spans="1:17" ht="30" customHeight="1">
      <c r="A141" s="1118">
        <v>4</v>
      </c>
      <c r="B141" s="1093" t="s">
        <v>186</v>
      </c>
      <c r="C141" s="1090" t="s">
        <v>621</v>
      </c>
      <c r="D141" s="401" t="s">
        <v>6</v>
      </c>
      <c r="E141" s="426" t="s">
        <v>832</v>
      </c>
      <c r="F141" s="402"/>
      <c r="G141" s="402"/>
      <c r="H141" s="402"/>
      <c r="I141" s="402"/>
      <c r="J141" s="615"/>
      <c r="K141" s="615"/>
      <c r="L141" s="614"/>
      <c r="M141" s="614"/>
      <c r="N141" s="615"/>
      <c r="O141" s="653">
        <f t="shared" si="32"/>
        <v>0</v>
      </c>
      <c r="Q141" s="385">
        <f t="shared" si="33"/>
      </c>
    </row>
    <row r="142" spans="1:17" ht="30" customHeight="1">
      <c r="A142" s="1118">
        <v>4</v>
      </c>
      <c r="B142" s="1087" t="s">
        <v>186</v>
      </c>
      <c r="C142" s="1090" t="s">
        <v>669</v>
      </c>
      <c r="D142" s="407" t="s">
        <v>6</v>
      </c>
      <c r="E142" s="427" t="s">
        <v>670</v>
      </c>
      <c r="F142" s="420"/>
      <c r="G142" s="420"/>
      <c r="H142" s="420"/>
      <c r="I142" s="420"/>
      <c r="J142" s="711"/>
      <c r="K142" s="711"/>
      <c r="L142" s="712"/>
      <c r="M142" s="712"/>
      <c r="N142" s="410"/>
      <c r="O142" s="653">
        <f t="shared" si="32"/>
        <v>0</v>
      </c>
      <c r="Q142" s="385">
        <f t="shared" si="33"/>
      </c>
    </row>
    <row r="143" spans="1:17" ht="30" customHeight="1">
      <c r="A143" s="1118">
        <v>5</v>
      </c>
      <c r="B143" s="1087" t="s">
        <v>1012</v>
      </c>
      <c r="C143" s="1090" t="s">
        <v>1079</v>
      </c>
      <c r="D143" s="407" t="s">
        <v>1080</v>
      </c>
      <c r="E143" s="427" t="s">
        <v>1081</v>
      </c>
      <c r="F143" s="420"/>
      <c r="G143" s="420"/>
      <c r="H143" s="420"/>
      <c r="I143" s="420"/>
      <c r="J143" s="711"/>
      <c r="K143" s="711"/>
      <c r="L143" s="712"/>
      <c r="M143" s="712"/>
      <c r="N143" s="1156">
        <v>150000</v>
      </c>
      <c r="O143" s="653">
        <f t="shared" si="32"/>
        <v>0</v>
      </c>
      <c r="Q143" s="385">
        <f t="shared" si="33"/>
      </c>
    </row>
    <row r="144" spans="1:17" ht="30" customHeight="1">
      <c r="A144" s="547">
        <v>4</v>
      </c>
      <c r="B144" s="1093" t="s">
        <v>186</v>
      </c>
      <c r="C144" s="1094">
        <v>992</v>
      </c>
      <c r="D144" s="401" t="s">
        <v>6</v>
      </c>
      <c r="E144" s="426" t="s">
        <v>636</v>
      </c>
      <c r="F144" s="402"/>
      <c r="G144" s="402"/>
      <c r="H144" s="402"/>
      <c r="I144" s="402"/>
      <c r="J144" s="615"/>
      <c r="K144" s="615"/>
      <c r="L144" s="614"/>
      <c r="M144" s="614"/>
      <c r="N144" s="615"/>
      <c r="O144" s="653">
        <f t="shared" si="32"/>
        <v>0</v>
      </c>
      <c r="Q144" s="385">
        <f t="shared" si="33"/>
      </c>
    </row>
    <row r="145" spans="1:17" ht="30" customHeight="1">
      <c r="A145" s="1118">
        <v>4</v>
      </c>
      <c r="B145" s="1093" t="s">
        <v>186</v>
      </c>
      <c r="C145" s="1090">
        <v>993</v>
      </c>
      <c r="D145" s="401" t="s">
        <v>6</v>
      </c>
      <c r="E145" s="426" t="s">
        <v>606</v>
      </c>
      <c r="F145" s="402"/>
      <c r="G145" s="402"/>
      <c r="H145" s="402"/>
      <c r="I145" s="402"/>
      <c r="J145" s="709"/>
      <c r="K145" s="615"/>
      <c r="L145" s="614"/>
      <c r="M145" s="614"/>
      <c r="N145" s="615"/>
      <c r="O145" s="653">
        <f t="shared" si="32"/>
        <v>0</v>
      </c>
      <c r="Q145" s="385">
        <f t="shared" si="33"/>
      </c>
    </row>
    <row r="146" spans="1:17" ht="30" customHeight="1">
      <c r="A146" s="1118">
        <v>4</v>
      </c>
      <c r="B146" s="1093" t="s">
        <v>186</v>
      </c>
      <c r="C146" s="1090">
        <v>994</v>
      </c>
      <c r="D146" s="401" t="s">
        <v>6</v>
      </c>
      <c r="E146" s="426" t="s">
        <v>946</v>
      </c>
      <c r="F146" s="420"/>
      <c r="G146" s="420"/>
      <c r="H146" s="420"/>
      <c r="I146" s="420"/>
      <c r="J146" s="718"/>
      <c r="K146" s="711"/>
      <c r="L146" s="712"/>
      <c r="M146" s="712"/>
      <c r="N146" s="711"/>
      <c r="O146" s="653">
        <f t="shared" si="32"/>
        <v>0</v>
      </c>
      <c r="Q146" s="385">
        <f t="shared" si="33"/>
      </c>
    </row>
    <row r="147" spans="1:17" ht="48.75" customHeight="1">
      <c r="A147" s="1119">
        <v>4</v>
      </c>
      <c r="B147" s="1093" t="s">
        <v>186</v>
      </c>
      <c r="C147" s="1120">
        <v>996</v>
      </c>
      <c r="D147" s="643" t="s">
        <v>6</v>
      </c>
      <c r="E147" s="426" t="s">
        <v>909</v>
      </c>
      <c r="F147" s="420"/>
      <c r="G147" s="420"/>
      <c r="H147" s="420"/>
      <c r="I147" s="420"/>
      <c r="J147" s="711"/>
      <c r="K147" s="711"/>
      <c r="L147" s="712"/>
      <c r="M147" s="712"/>
      <c r="N147" s="711"/>
      <c r="O147" s="653">
        <f t="shared" si="32"/>
        <v>0</v>
      </c>
      <c r="Q147" s="385">
        <f t="shared" si="33"/>
      </c>
    </row>
    <row r="148" spans="1:17" ht="30" customHeight="1">
      <c r="A148" s="1119">
        <v>4</v>
      </c>
      <c r="B148" s="1093" t="s">
        <v>186</v>
      </c>
      <c r="C148" s="1120" t="s">
        <v>671</v>
      </c>
      <c r="D148" s="643" t="s">
        <v>6</v>
      </c>
      <c r="E148" s="427" t="s">
        <v>672</v>
      </c>
      <c r="F148" s="419"/>
      <c r="G148" s="419"/>
      <c r="H148" s="419"/>
      <c r="I148" s="419"/>
      <c r="J148" s="712"/>
      <c r="K148" s="712"/>
      <c r="L148" s="712"/>
      <c r="M148" s="712"/>
      <c r="N148" s="711"/>
      <c r="O148" s="653">
        <f t="shared" si="32"/>
        <v>0</v>
      </c>
      <c r="Q148" s="385">
        <f t="shared" si="33"/>
      </c>
    </row>
    <row r="149" spans="1:17" ht="50.25" customHeight="1">
      <c r="A149" s="1119">
        <v>4</v>
      </c>
      <c r="B149" s="1093" t="s">
        <v>186</v>
      </c>
      <c r="C149" s="1121" t="s">
        <v>851</v>
      </c>
      <c r="D149" s="643" t="s">
        <v>6</v>
      </c>
      <c r="E149" s="426" t="s">
        <v>1059</v>
      </c>
      <c r="F149" s="419"/>
      <c r="G149" s="419"/>
      <c r="H149" s="419"/>
      <c r="I149" s="419"/>
      <c r="J149" s="1171">
        <v>200000</v>
      </c>
      <c r="K149" s="1151">
        <v>200000</v>
      </c>
      <c r="L149" s="712"/>
      <c r="M149" s="712"/>
      <c r="N149" s="711"/>
      <c r="O149" s="653">
        <f t="shared" si="32"/>
        <v>200000</v>
      </c>
      <c r="Q149" s="385">
        <f t="shared" si="33"/>
      </c>
    </row>
    <row r="150" spans="1:17" ht="50.25" customHeight="1">
      <c r="A150" s="1119">
        <v>4</v>
      </c>
      <c r="B150" s="1093" t="s">
        <v>186</v>
      </c>
      <c r="C150" s="1121" t="s">
        <v>1148</v>
      </c>
      <c r="D150" s="643" t="s">
        <v>6</v>
      </c>
      <c r="E150" s="1479" t="s">
        <v>1152</v>
      </c>
      <c r="F150" s="419"/>
      <c r="G150" s="419"/>
      <c r="H150" s="419"/>
      <c r="I150" s="419"/>
      <c r="J150" s="712"/>
      <c r="K150" s="712"/>
      <c r="L150" s="712"/>
      <c r="M150" s="712"/>
      <c r="N150" s="1157">
        <v>190000</v>
      </c>
      <c r="O150" s="653">
        <f t="shared" si="32"/>
        <v>0</v>
      </c>
      <c r="Q150" s="385">
        <f t="shared" si="33"/>
      </c>
    </row>
    <row r="151" spans="1:17" ht="45" customHeight="1">
      <c r="A151" s="1119">
        <v>4</v>
      </c>
      <c r="B151" s="1093" t="s">
        <v>186</v>
      </c>
      <c r="C151" s="1121">
        <v>997</v>
      </c>
      <c r="D151" s="643" t="s">
        <v>6</v>
      </c>
      <c r="E151" s="427" t="s">
        <v>947</v>
      </c>
      <c r="F151" s="419"/>
      <c r="G151" s="419"/>
      <c r="H151" s="419"/>
      <c r="I151" s="419"/>
      <c r="J151" s="712"/>
      <c r="K151" s="712"/>
      <c r="L151" s="712"/>
      <c r="M151" s="712"/>
      <c r="N151" s="711"/>
      <c r="O151" s="653">
        <f t="shared" si="32"/>
        <v>0</v>
      </c>
      <c r="Q151" s="385">
        <f t="shared" si="33"/>
      </c>
    </row>
    <row r="152" spans="1:17" ht="30" customHeight="1">
      <c r="A152" s="1119">
        <v>4</v>
      </c>
      <c r="B152" s="1093" t="s">
        <v>186</v>
      </c>
      <c r="C152" s="1120">
        <v>999</v>
      </c>
      <c r="D152" s="643" t="s">
        <v>6</v>
      </c>
      <c r="E152" s="427" t="s">
        <v>637</v>
      </c>
      <c r="F152" s="419"/>
      <c r="G152" s="419"/>
      <c r="H152" s="419"/>
      <c r="I152" s="419"/>
      <c r="J152" s="712"/>
      <c r="K152" s="712"/>
      <c r="L152" s="712"/>
      <c r="M152" s="712"/>
      <c r="N152" s="711"/>
      <c r="O152" s="653">
        <f t="shared" si="32"/>
        <v>0</v>
      </c>
      <c r="Q152" s="385">
        <f t="shared" si="33"/>
      </c>
    </row>
    <row r="153" spans="1:17" ht="30" customHeight="1">
      <c r="A153" s="1119">
        <v>4</v>
      </c>
      <c r="B153" s="1093" t="s">
        <v>186</v>
      </c>
      <c r="C153" s="1120">
        <v>1000</v>
      </c>
      <c r="D153" s="643" t="s">
        <v>6</v>
      </c>
      <c r="E153" s="427" t="s">
        <v>614</v>
      </c>
      <c r="F153" s="419"/>
      <c r="G153" s="419"/>
      <c r="H153" s="419"/>
      <c r="I153" s="419"/>
      <c r="J153" s="712"/>
      <c r="K153" s="712"/>
      <c r="L153" s="712"/>
      <c r="M153" s="712"/>
      <c r="N153" s="711"/>
      <c r="O153" s="653">
        <f t="shared" si="32"/>
        <v>0</v>
      </c>
      <c r="Q153" s="385">
        <f t="shared" si="33"/>
      </c>
    </row>
    <row r="154" spans="1:17" ht="30" customHeight="1">
      <c r="A154" s="1119">
        <v>4</v>
      </c>
      <c r="B154" s="1093" t="s">
        <v>186</v>
      </c>
      <c r="C154" s="1120">
        <v>1001</v>
      </c>
      <c r="D154" s="643" t="s">
        <v>6</v>
      </c>
      <c r="E154" s="418" t="s">
        <v>607</v>
      </c>
      <c r="F154" s="409">
        <v>854</v>
      </c>
      <c r="G154" s="409"/>
      <c r="H154" s="409"/>
      <c r="I154" s="409"/>
      <c r="J154" s="712"/>
      <c r="K154" s="712"/>
      <c r="L154" s="712"/>
      <c r="M154" s="712"/>
      <c r="N154" s="410"/>
      <c r="O154" s="653">
        <f t="shared" si="32"/>
        <v>854</v>
      </c>
      <c r="Q154" s="385">
        <f t="shared" si="33"/>
      </c>
    </row>
    <row r="155" spans="1:17" ht="30" customHeight="1">
      <c r="A155" s="1119">
        <v>4</v>
      </c>
      <c r="B155" s="1093" t="s">
        <v>186</v>
      </c>
      <c r="C155" s="1120">
        <v>1002</v>
      </c>
      <c r="D155" s="643" t="s">
        <v>6</v>
      </c>
      <c r="E155" s="427" t="s">
        <v>1025</v>
      </c>
      <c r="F155" s="409"/>
      <c r="G155" s="409"/>
      <c r="H155" s="409"/>
      <c r="I155" s="409"/>
      <c r="J155" s="1171">
        <v>120000</v>
      </c>
      <c r="K155" s="1151">
        <v>120000</v>
      </c>
      <c r="L155" s="712"/>
      <c r="M155" s="712"/>
      <c r="N155" s="410"/>
      <c r="O155" s="653">
        <f t="shared" si="32"/>
        <v>120000</v>
      </c>
      <c r="Q155" s="385">
        <f t="shared" si="33"/>
      </c>
    </row>
    <row r="156" spans="1:17" ht="48" customHeight="1">
      <c r="A156" s="1119">
        <v>4</v>
      </c>
      <c r="B156" s="1093" t="s">
        <v>186</v>
      </c>
      <c r="C156" s="1120">
        <v>1003</v>
      </c>
      <c r="D156" s="643" t="s">
        <v>6</v>
      </c>
      <c r="E156" s="427" t="s">
        <v>1026</v>
      </c>
      <c r="F156" s="409">
        <v>147000</v>
      </c>
      <c r="G156" s="409"/>
      <c r="H156" s="409">
        <v>147000</v>
      </c>
      <c r="I156" s="409"/>
      <c r="J156" s="1171">
        <v>147000</v>
      </c>
      <c r="K156" s="712"/>
      <c r="L156" s="712"/>
      <c r="M156" s="712"/>
      <c r="N156" s="410"/>
      <c r="O156" s="653">
        <f t="shared" si="32"/>
        <v>147000</v>
      </c>
      <c r="Q156" s="385">
        <f t="shared" si="33"/>
      </c>
    </row>
    <row r="157" spans="1:17" ht="30" customHeight="1">
      <c r="A157" s="1119">
        <v>4</v>
      </c>
      <c r="B157" s="1093" t="s">
        <v>186</v>
      </c>
      <c r="C157" s="1121">
        <v>1004</v>
      </c>
      <c r="D157" s="643" t="s">
        <v>6</v>
      </c>
      <c r="E157" s="427" t="s">
        <v>1027</v>
      </c>
      <c r="F157" s="409"/>
      <c r="G157" s="409"/>
      <c r="H157" s="409">
        <v>18972.85</v>
      </c>
      <c r="I157" s="409"/>
      <c r="J157" s="1171">
        <v>18972.85</v>
      </c>
      <c r="K157" s="712"/>
      <c r="L157" s="712"/>
      <c r="M157" s="712"/>
      <c r="N157" s="410"/>
      <c r="O157" s="653">
        <f t="shared" si="32"/>
        <v>0</v>
      </c>
      <c r="Q157" s="385">
        <f t="shared" si="33"/>
      </c>
    </row>
    <row r="158" spans="1:17" ht="30" customHeight="1">
      <c r="A158" s="1119">
        <v>4</v>
      </c>
      <c r="B158" s="1093" t="s">
        <v>186</v>
      </c>
      <c r="C158" s="1121">
        <v>1005</v>
      </c>
      <c r="D158" s="643" t="s">
        <v>6</v>
      </c>
      <c r="E158" s="427" t="s">
        <v>847</v>
      </c>
      <c r="F158" s="409"/>
      <c r="G158" s="409"/>
      <c r="H158" s="409"/>
      <c r="I158" s="409"/>
      <c r="J158" s="712"/>
      <c r="K158" s="712"/>
      <c r="L158" s="712"/>
      <c r="M158" s="712"/>
      <c r="N158" s="410"/>
      <c r="O158" s="653">
        <f t="shared" si="32"/>
        <v>0</v>
      </c>
      <c r="Q158" s="385">
        <f t="shared" si="33"/>
      </c>
    </row>
    <row r="159" spans="1:17" ht="30" customHeight="1">
      <c r="A159" s="1119">
        <v>4</v>
      </c>
      <c r="B159" s="1093" t="s">
        <v>186</v>
      </c>
      <c r="C159" s="1121">
        <v>1006</v>
      </c>
      <c r="D159" s="643" t="s">
        <v>6</v>
      </c>
      <c r="E159" s="427" t="s">
        <v>855</v>
      </c>
      <c r="F159" s="409">
        <v>100000</v>
      </c>
      <c r="G159" s="409"/>
      <c r="H159" s="409">
        <v>100000</v>
      </c>
      <c r="I159" s="409"/>
      <c r="J159" s="1171">
        <v>100000</v>
      </c>
      <c r="K159" s="712"/>
      <c r="L159" s="712"/>
      <c r="M159" s="712"/>
      <c r="N159" s="410"/>
      <c r="O159" s="653">
        <f t="shared" si="32"/>
        <v>100000</v>
      </c>
      <c r="Q159" s="385">
        <f t="shared" si="33"/>
      </c>
    </row>
    <row r="160" spans="1:17" ht="30" customHeight="1">
      <c r="A160" s="1119">
        <v>4</v>
      </c>
      <c r="B160" s="1116" t="s">
        <v>186</v>
      </c>
      <c r="C160" s="1121">
        <v>1036</v>
      </c>
      <c r="D160" s="643" t="s">
        <v>980</v>
      </c>
      <c r="E160" s="427" t="s">
        <v>1070</v>
      </c>
      <c r="F160" s="409"/>
      <c r="G160" s="409"/>
      <c r="H160" s="409"/>
      <c r="I160" s="409"/>
      <c r="J160" s="712"/>
      <c r="K160" s="712"/>
      <c r="L160" s="712"/>
      <c r="M160" s="1198">
        <v>10000</v>
      </c>
      <c r="N160" s="718"/>
      <c r="O160" s="653">
        <f t="shared" si="32"/>
        <v>0</v>
      </c>
      <c r="Q160" s="385">
        <f t="shared" si="33"/>
      </c>
    </row>
    <row r="161" spans="1:17" ht="30" customHeight="1">
      <c r="A161" s="1119">
        <v>4</v>
      </c>
      <c r="B161" s="1117" t="s">
        <v>186</v>
      </c>
      <c r="C161" s="1120">
        <v>1061</v>
      </c>
      <c r="D161" s="407" t="s">
        <v>6</v>
      </c>
      <c r="E161" s="427" t="s">
        <v>617</v>
      </c>
      <c r="F161" s="420"/>
      <c r="G161" s="420"/>
      <c r="H161" s="420"/>
      <c r="I161" s="420"/>
      <c r="J161" s="711"/>
      <c r="K161" s="711"/>
      <c r="L161" s="712"/>
      <c r="M161" s="712"/>
      <c r="N161" s="410"/>
      <c r="O161" s="653">
        <f t="shared" si="32"/>
        <v>0</v>
      </c>
      <c r="Q161" s="385">
        <f t="shared" si="33"/>
      </c>
    </row>
    <row r="162" spans="1:17" ht="30" customHeight="1">
      <c r="A162" s="1119">
        <v>4</v>
      </c>
      <c r="B162" s="1087" t="s">
        <v>186</v>
      </c>
      <c r="C162" s="1120">
        <v>1067</v>
      </c>
      <c r="D162" s="407" t="s">
        <v>6</v>
      </c>
      <c r="E162" s="427" t="s">
        <v>673</v>
      </c>
      <c r="F162" s="420"/>
      <c r="G162" s="420"/>
      <c r="H162" s="420"/>
      <c r="I162" s="420"/>
      <c r="J162" s="711"/>
      <c r="K162" s="711"/>
      <c r="L162" s="712"/>
      <c r="M162" s="712"/>
      <c r="N162" s="410"/>
      <c r="O162" s="653">
        <f t="shared" si="32"/>
        <v>0</v>
      </c>
      <c r="Q162" s="385">
        <f t="shared" si="33"/>
      </c>
    </row>
    <row r="163" spans="1:17" ht="30" customHeight="1" thickBot="1">
      <c r="A163" s="1119">
        <v>4</v>
      </c>
      <c r="B163" s="1116" t="s">
        <v>186</v>
      </c>
      <c r="C163" s="1121">
        <v>1069</v>
      </c>
      <c r="D163" s="643" t="s">
        <v>1149</v>
      </c>
      <c r="E163" s="1479" t="s">
        <v>1151</v>
      </c>
      <c r="F163" s="420"/>
      <c r="G163" s="420"/>
      <c r="H163" s="420"/>
      <c r="I163" s="420"/>
      <c r="J163" s="711"/>
      <c r="K163" s="711"/>
      <c r="L163" s="712"/>
      <c r="M163" s="712"/>
      <c r="N163" s="1156">
        <v>100000</v>
      </c>
      <c r="O163" s="653">
        <f t="shared" si="32"/>
        <v>0</v>
      </c>
      <c r="Q163" s="385">
        <f t="shared" si="33"/>
      </c>
    </row>
    <row r="164" spans="1:17" s="412" customFormat="1" ht="30" customHeight="1" thickBot="1">
      <c r="A164" s="1233" t="s">
        <v>948</v>
      </c>
      <c r="B164" s="1234"/>
      <c r="C164" s="1234"/>
      <c r="D164" s="1234"/>
      <c r="E164" s="1235"/>
      <c r="F164" s="429">
        <f aca="true" t="shared" si="34" ref="F164:O164">SUM(F106:F163)</f>
        <v>3092854</v>
      </c>
      <c r="G164" s="429">
        <f t="shared" si="34"/>
        <v>0</v>
      </c>
      <c r="H164" s="429">
        <f t="shared" si="34"/>
        <v>3100484.11</v>
      </c>
      <c r="I164" s="429">
        <f t="shared" si="34"/>
        <v>0</v>
      </c>
      <c r="J164" s="719">
        <f t="shared" si="34"/>
        <v>4644369.31</v>
      </c>
      <c r="K164" s="719">
        <f t="shared" si="34"/>
        <v>2599055</v>
      </c>
      <c r="L164" s="719"/>
      <c r="M164" s="719">
        <f t="shared" si="34"/>
        <v>1918000</v>
      </c>
      <c r="N164" s="392">
        <f t="shared" si="34"/>
        <v>1204000</v>
      </c>
      <c r="O164" s="654">
        <f t="shared" si="34"/>
        <v>5691909</v>
      </c>
      <c r="Q164" s="385">
        <f t="shared" si="33"/>
      </c>
    </row>
    <row r="165" spans="1:17" ht="30" customHeight="1">
      <c r="A165" s="1173">
        <v>4</v>
      </c>
      <c r="B165" s="1174" t="s">
        <v>627</v>
      </c>
      <c r="C165" s="1175">
        <v>1048</v>
      </c>
      <c r="D165" s="1176" t="s">
        <v>87</v>
      </c>
      <c r="E165" s="1177" t="s">
        <v>949</v>
      </c>
      <c r="F165" s="1178">
        <v>3600</v>
      </c>
      <c r="G165" s="1178"/>
      <c r="H165" s="1178"/>
      <c r="I165" s="1178"/>
      <c r="J165" s="742"/>
      <c r="K165" s="742"/>
      <c r="L165" s="742"/>
      <c r="M165" s="742"/>
      <c r="N165" s="1179"/>
      <c r="O165" s="657">
        <f>F165+K165</f>
        <v>3600</v>
      </c>
      <c r="Q165" s="1044">
        <f t="shared" si="33"/>
      </c>
    </row>
    <row r="166" spans="1:17" ht="30" customHeight="1" thickBot="1">
      <c r="A166" s="1172">
        <v>4</v>
      </c>
      <c r="B166" s="1095" t="s">
        <v>627</v>
      </c>
      <c r="C166" s="1180">
        <v>1051</v>
      </c>
      <c r="D166" s="1181" t="s">
        <v>87</v>
      </c>
      <c r="E166" s="1009" t="s">
        <v>1104</v>
      </c>
      <c r="F166" s="1182">
        <v>28738.73</v>
      </c>
      <c r="G166" s="1182"/>
      <c r="H166" s="1182">
        <v>28738.73</v>
      </c>
      <c r="I166" s="1182"/>
      <c r="J166" s="1184">
        <v>28738.73</v>
      </c>
      <c r="K166" s="1183"/>
      <c r="L166" s="1183"/>
      <c r="M166" s="1183"/>
      <c r="N166" s="417"/>
      <c r="O166" s="657">
        <f>F166+K166</f>
        <v>28738.73</v>
      </c>
      <c r="Q166" s="1044">
        <f t="shared" si="33"/>
      </c>
    </row>
    <row r="167" spans="1:17" s="412" customFormat="1" ht="30" customHeight="1" thickBot="1">
      <c r="A167" s="1233" t="s">
        <v>598</v>
      </c>
      <c r="B167" s="1234"/>
      <c r="C167" s="1234"/>
      <c r="D167" s="1234"/>
      <c r="E167" s="1235"/>
      <c r="F167" s="719">
        <f aca="true" t="shared" si="35" ref="F167:O167">SUM(F165:F166)</f>
        <v>32338.73</v>
      </c>
      <c r="G167" s="719">
        <f t="shared" si="35"/>
        <v>0</v>
      </c>
      <c r="H167" s="719">
        <f t="shared" si="35"/>
        <v>28738.73</v>
      </c>
      <c r="I167" s="719">
        <f t="shared" si="35"/>
        <v>0</v>
      </c>
      <c r="J167" s="719">
        <f t="shared" si="35"/>
        <v>28738.73</v>
      </c>
      <c r="K167" s="719">
        <f t="shared" si="35"/>
        <v>0</v>
      </c>
      <c r="L167" s="719"/>
      <c r="M167" s="719">
        <f t="shared" si="35"/>
        <v>0</v>
      </c>
      <c r="N167" s="719">
        <f t="shared" si="35"/>
        <v>0</v>
      </c>
      <c r="O167" s="824">
        <f t="shared" si="35"/>
        <v>32338.73</v>
      </c>
      <c r="Q167" s="370"/>
    </row>
    <row r="168" spans="1:17" ht="30" customHeight="1" thickBot="1">
      <c r="A168" s="414">
        <v>4</v>
      </c>
      <c r="B168" s="415"/>
      <c r="C168" s="953"/>
      <c r="D168" s="407"/>
      <c r="E168" s="418"/>
      <c r="F168" s="409">
        <v>0</v>
      </c>
      <c r="G168" s="409"/>
      <c r="H168" s="409"/>
      <c r="I168" s="409"/>
      <c r="J168" s="712"/>
      <c r="K168" s="712"/>
      <c r="L168" s="712"/>
      <c r="M168" s="712"/>
      <c r="N168" s="410"/>
      <c r="O168" s="657">
        <f>F168+K168</f>
        <v>0</v>
      </c>
      <c r="Q168" s="1044">
        <f>IF(O168&gt;(F168+K168),"ERRORE","")</f>
      </c>
    </row>
    <row r="169" spans="1:17" s="412" customFormat="1" ht="30" customHeight="1" thickBot="1">
      <c r="A169" s="1233" t="s">
        <v>950</v>
      </c>
      <c r="B169" s="1234"/>
      <c r="C169" s="1234"/>
      <c r="D169" s="1234"/>
      <c r="E169" s="1235"/>
      <c r="F169" s="719">
        <f aca="true" t="shared" si="36" ref="F169:O169">SUM(F168)</f>
        <v>0</v>
      </c>
      <c r="G169" s="719">
        <f t="shared" si="36"/>
        <v>0</v>
      </c>
      <c r="H169" s="719">
        <f t="shared" si="36"/>
        <v>0</v>
      </c>
      <c r="I169" s="719">
        <f t="shared" si="36"/>
        <v>0</v>
      </c>
      <c r="J169" s="719">
        <f t="shared" si="36"/>
        <v>0</v>
      </c>
      <c r="K169" s="719">
        <f t="shared" si="36"/>
        <v>0</v>
      </c>
      <c r="L169" s="719"/>
      <c r="M169" s="719">
        <f t="shared" si="36"/>
        <v>0</v>
      </c>
      <c r="N169" s="429">
        <f t="shared" si="36"/>
        <v>0</v>
      </c>
      <c r="O169" s="654">
        <f t="shared" si="36"/>
        <v>0</v>
      </c>
      <c r="Q169" s="370"/>
    </row>
    <row r="170" spans="1:17" ht="30" customHeight="1" thickBot="1">
      <c r="A170" s="1124">
        <v>4</v>
      </c>
      <c r="B170" s="1125" t="s">
        <v>422</v>
      </c>
      <c r="C170" s="1126">
        <v>1050</v>
      </c>
      <c r="D170" s="407" t="s">
        <v>88</v>
      </c>
      <c r="E170" s="418" t="s">
        <v>964</v>
      </c>
      <c r="F170" s="409">
        <v>43000</v>
      </c>
      <c r="G170" s="409"/>
      <c r="H170" s="409">
        <v>139010.77</v>
      </c>
      <c r="I170" s="409"/>
      <c r="J170" s="1185">
        <v>315261.27</v>
      </c>
      <c r="K170" s="1148">
        <v>290000</v>
      </c>
      <c r="L170" s="716"/>
      <c r="M170" s="1197">
        <v>130000</v>
      </c>
      <c r="N170" s="1154">
        <v>426000</v>
      </c>
      <c r="O170" s="657">
        <f>F170+K170</f>
        <v>333000</v>
      </c>
      <c r="Q170" s="1044">
        <f>IF(O170&gt;(F170+K170),"ERRORE","")</f>
      </c>
    </row>
    <row r="171" spans="1:17" s="412" customFormat="1" ht="30" customHeight="1" thickBot="1">
      <c r="A171" s="1233" t="s">
        <v>594</v>
      </c>
      <c r="B171" s="1234"/>
      <c r="C171" s="1234"/>
      <c r="D171" s="1234"/>
      <c r="E171" s="1235"/>
      <c r="F171" s="430">
        <f aca="true" t="shared" si="37" ref="F171:O171">SUM(F170:F170)</f>
        <v>43000</v>
      </c>
      <c r="G171" s="430">
        <f t="shared" si="37"/>
        <v>0</v>
      </c>
      <c r="H171" s="430">
        <f t="shared" si="37"/>
        <v>139010.77</v>
      </c>
      <c r="I171" s="430">
        <f t="shared" si="37"/>
        <v>0</v>
      </c>
      <c r="J171" s="720">
        <f t="shared" si="37"/>
        <v>315261.27</v>
      </c>
      <c r="K171" s="720">
        <f t="shared" si="37"/>
        <v>290000</v>
      </c>
      <c r="L171" s="720"/>
      <c r="M171" s="720">
        <f t="shared" si="37"/>
        <v>130000</v>
      </c>
      <c r="N171" s="431">
        <f t="shared" si="37"/>
        <v>426000</v>
      </c>
      <c r="O171" s="654">
        <f t="shared" si="37"/>
        <v>333000</v>
      </c>
      <c r="Q171" s="370">
        <f>IF(O171&gt;(F171+K171),"ERRORE","")</f>
      </c>
    </row>
    <row r="172" spans="1:17" s="395" customFormat="1" ht="30" customHeight="1" thickBot="1">
      <c r="A172" s="1244" t="s">
        <v>19</v>
      </c>
      <c r="B172" s="1245"/>
      <c r="C172" s="1245"/>
      <c r="D172" s="1245"/>
      <c r="E172" s="1245"/>
      <c r="F172" s="816">
        <f>F164+F167+F169+F171</f>
        <v>3168192.73</v>
      </c>
      <c r="G172" s="816">
        <f aca="true" t="shared" si="38" ref="G172:O172">G164+G167+G169+G171</f>
        <v>0</v>
      </c>
      <c r="H172" s="816">
        <f t="shared" si="38"/>
        <v>3268233.61</v>
      </c>
      <c r="I172" s="816">
        <f t="shared" si="38"/>
        <v>0</v>
      </c>
      <c r="J172" s="816">
        <f t="shared" si="38"/>
        <v>4988369.3100000005</v>
      </c>
      <c r="K172" s="816">
        <f t="shared" si="38"/>
        <v>2889055</v>
      </c>
      <c r="L172" s="816">
        <f t="shared" si="38"/>
        <v>0</v>
      </c>
      <c r="M172" s="816">
        <f t="shared" si="38"/>
        <v>2048000</v>
      </c>
      <c r="N172" s="816">
        <f t="shared" si="38"/>
        <v>1630000</v>
      </c>
      <c r="O172" s="819">
        <f t="shared" si="38"/>
        <v>6057247.73</v>
      </c>
      <c r="Q172" s="370">
        <f>IF(O172&gt;(F172+K172),"ERRORE","")</f>
      </c>
    </row>
    <row r="173" spans="1:17" s="395" customFormat="1" ht="30" customHeight="1" thickBot="1">
      <c r="A173" s="432"/>
      <c r="B173" s="433"/>
      <c r="C173" s="433"/>
      <c r="D173" s="433"/>
      <c r="E173" s="433"/>
      <c r="F173" s="434"/>
      <c r="G173" s="434"/>
      <c r="H173" s="434"/>
      <c r="I173" s="434"/>
      <c r="J173" s="658"/>
      <c r="K173" s="658"/>
      <c r="L173" s="658"/>
      <c r="M173" s="658"/>
      <c r="N173" s="434"/>
      <c r="O173" s="658"/>
      <c r="Q173" s="370"/>
    </row>
    <row r="174" spans="1:17" s="395" customFormat="1" ht="30" customHeight="1" thickBot="1">
      <c r="A174" s="1242" t="s">
        <v>219</v>
      </c>
      <c r="B174" s="1243"/>
      <c r="C174" s="1243"/>
      <c r="D174" s="1243"/>
      <c r="E174" s="1243"/>
      <c r="F174" s="1243"/>
      <c r="G174" s="1243"/>
      <c r="H174" s="1243"/>
      <c r="I174" s="1243"/>
      <c r="J174" s="1243"/>
      <c r="K174" s="1243"/>
      <c r="L174" s="1243"/>
      <c r="M174" s="1243"/>
      <c r="N174" s="1243"/>
      <c r="O174" s="1243"/>
      <c r="Q174" s="370"/>
    </row>
    <row r="175" spans="1:17" s="397" customFormat="1" ht="77.25" customHeight="1" thickBot="1">
      <c r="A175" s="435" t="str">
        <f>A5</f>
        <v>Titolo</v>
      </c>
      <c r="B175" s="436" t="str">
        <f>B5</f>
        <v>Tipologia</v>
      </c>
      <c r="C175" s="436" t="str">
        <f>C5</f>
        <v>Capitolo</v>
      </c>
      <c r="D175" s="436" t="str">
        <f>D5</f>
        <v>Piano dei conti</v>
      </c>
      <c r="E175" s="436" t="str">
        <f>E5</f>
        <v>DESCRIZIONE</v>
      </c>
      <c r="F175" s="436" t="str">
        <f>F5</f>
        <v>RESIDUI PRESUNTI AL 17.01.2023</v>
      </c>
      <c r="G175" s="436" t="str">
        <f>G5</f>
        <v>PREVISIONE INIZIALE 2022</v>
      </c>
      <c r="H175" s="436" t="str">
        <f>H5</f>
        <v>ACCERTAMENTI AL 17.01.2023</v>
      </c>
      <c r="I175" s="436" t="str">
        <f>I5</f>
        <v>DIFFERENZA TRA ACCERTATO E ASSESTATO</v>
      </c>
      <c r="J175" s="721" t="str">
        <f>J5</f>
        <v>PREVISIONE 2022 ASSESTATA AL 17.01.2023</v>
      </c>
      <c r="K175" s="721" t="str">
        <f>K5</f>
        <v>PREVISIONE 2023</v>
      </c>
      <c r="L175" s="721"/>
      <c r="M175" s="721" t="str">
        <f>M5</f>
        <v>PREVISIONE 2024</v>
      </c>
      <c r="N175" s="437" t="str">
        <f>N5</f>
        <v>PREVISIONE 2025</v>
      </c>
      <c r="O175" s="659" t="str">
        <f>O5</f>
        <v>PREVISIONE DI CASSA 2023</v>
      </c>
      <c r="Q175" s="370"/>
    </row>
    <row r="176" spans="1:17" s="395" customFormat="1" ht="30" customHeight="1" thickBot="1">
      <c r="A176" s="1127">
        <v>5</v>
      </c>
      <c r="B176" s="770">
        <v>407</v>
      </c>
      <c r="C176" s="1106">
        <v>1070</v>
      </c>
      <c r="D176" s="439" t="s">
        <v>869</v>
      </c>
      <c r="E176" s="440" t="s">
        <v>3</v>
      </c>
      <c r="F176" s="441">
        <v>200000</v>
      </c>
      <c r="G176" s="441"/>
      <c r="H176" s="441"/>
      <c r="I176" s="441"/>
      <c r="J176" s="596">
        <v>350000</v>
      </c>
      <c r="K176" s="596"/>
      <c r="L176" s="596"/>
      <c r="M176" s="596"/>
      <c r="N176" s="443"/>
      <c r="O176" s="986">
        <f>F176+K176</f>
        <v>200000</v>
      </c>
      <c r="Q176" s="1044">
        <f>IF(O176&gt;(F176+K176),"ERRORE","")</f>
      </c>
    </row>
    <row r="177" spans="1:17" s="395" customFormat="1" ht="30" customHeight="1" thickBot="1">
      <c r="A177" s="1253" t="s">
        <v>220</v>
      </c>
      <c r="B177" s="1253"/>
      <c r="C177" s="1253"/>
      <c r="D177" s="1253"/>
      <c r="E177" s="1254"/>
      <c r="F177" s="816">
        <f aca="true" t="shared" si="39" ref="F177:N177">SUM(F176)</f>
        <v>200000</v>
      </c>
      <c r="G177" s="816">
        <f t="shared" si="39"/>
        <v>0</v>
      </c>
      <c r="H177" s="816">
        <f t="shared" si="39"/>
        <v>0</v>
      </c>
      <c r="I177" s="816">
        <f t="shared" si="39"/>
        <v>0</v>
      </c>
      <c r="J177" s="816">
        <f t="shared" si="39"/>
        <v>350000</v>
      </c>
      <c r="K177" s="816">
        <f t="shared" si="39"/>
        <v>0</v>
      </c>
      <c r="L177" s="816"/>
      <c r="M177" s="816">
        <f t="shared" si="39"/>
        <v>0</v>
      </c>
      <c r="N177" s="816">
        <f t="shared" si="39"/>
        <v>0</v>
      </c>
      <c r="O177" s="820">
        <f>SUM(O176)</f>
        <v>200000</v>
      </c>
      <c r="Q177" s="370">
        <f>IF(O177&gt;(F177+K177),"ERRORE","")</f>
      </c>
    </row>
    <row r="178" spans="1:17" s="395" customFormat="1" ht="30" customHeight="1" thickBot="1">
      <c r="A178" s="444"/>
      <c r="B178" s="444"/>
      <c r="C178" s="444"/>
      <c r="D178" s="444"/>
      <c r="E178" s="445"/>
      <c r="F178" s="446"/>
      <c r="G178" s="446"/>
      <c r="H178" s="446"/>
      <c r="I178" s="446"/>
      <c r="J178" s="594"/>
      <c r="K178" s="594"/>
      <c r="L178" s="594"/>
      <c r="M178" s="594"/>
      <c r="N178" s="446"/>
      <c r="O178" s="594"/>
      <c r="Q178" s="370"/>
    </row>
    <row r="179" spans="1:17" s="395" customFormat="1" ht="30" customHeight="1" thickBot="1">
      <c r="A179" s="1242" t="s">
        <v>27</v>
      </c>
      <c r="B179" s="1243"/>
      <c r="C179" s="1243"/>
      <c r="D179" s="1243"/>
      <c r="E179" s="1243"/>
      <c r="F179" s="1243"/>
      <c r="G179" s="1243"/>
      <c r="H179" s="1243"/>
      <c r="I179" s="1243"/>
      <c r="J179" s="1243"/>
      <c r="K179" s="1243"/>
      <c r="L179" s="1243"/>
      <c r="M179" s="1243"/>
      <c r="N179" s="1243"/>
      <c r="O179" s="1243"/>
      <c r="Q179" s="370"/>
    </row>
    <row r="180" spans="1:17" s="397" customFormat="1" ht="76.5" customHeight="1" thickBot="1">
      <c r="A180" s="403" t="str">
        <f>A5</f>
        <v>Titolo</v>
      </c>
      <c r="B180" s="404" t="str">
        <f>B5</f>
        <v>Tipologia</v>
      </c>
      <c r="C180" s="404" t="str">
        <f>C5</f>
        <v>Capitolo</v>
      </c>
      <c r="D180" s="405" t="s">
        <v>431</v>
      </c>
      <c r="E180" s="404" t="str">
        <f>E5</f>
        <v>DESCRIZIONE</v>
      </c>
      <c r="F180" s="404" t="str">
        <f>F5</f>
        <v>RESIDUI PRESUNTI AL 17.01.2023</v>
      </c>
      <c r="G180" s="404" t="str">
        <f>G5</f>
        <v>PREVISIONE INIZIALE 2022</v>
      </c>
      <c r="H180" s="404" t="str">
        <f>H5</f>
        <v>ACCERTAMENTI AL 17.01.2023</v>
      </c>
      <c r="I180" s="404" t="str">
        <f>I5</f>
        <v>DIFFERENZA TRA ACCERTATO E ASSESTATO</v>
      </c>
      <c r="J180" s="710" t="str">
        <f>J5</f>
        <v>PREVISIONE 2022 ASSESTATA AL 17.01.2023</v>
      </c>
      <c r="K180" s="710" t="str">
        <f>K5</f>
        <v>PREVISIONE 2023</v>
      </c>
      <c r="L180" s="710"/>
      <c r="M180" s="710" t="str">
        <f>M5</f>
        <v>PREVISIONE 2024</v>
      </c>
      <c r="N180" s="421" t="str">
        <f>N5</f>
        <v>PREVISIONE 2025</v>
      </c>
      <c r="O180" s="652" t="str">
        <f>O5</f>
        <v>PREVISIONE DI CASSA 2023</v>
      </c>
      <c r="Q180" s="370"/>
    </row>
    <row r="181" spans="1:17" ht="30" customHeight="1">
      <c r="A181" s="547">
        <v>6</v>
      </c>
      <c r="B181" s="1093" t="s">
        <v>20</v>
      </c>
      <c r="C181" s="1094">
        <v>1133</v>
      </c>
      <c r="D181" s="398" t="s">
        <v>82</v>
      </c>
      <c r="E181" s="399" t="s">
        <v>969</v>
      </c>
      <c r="F181" s="713"/>
      <c r="G181" s="400"/>
      <c r="H181" s="400"/>
      <c r="I181" s="400"/>
      <c r="J181" s="703"/>
      <c r="K181" s="702"/>
      <c r="L181" s="703"/>
      <c r="M181" s="703"/>
      <c r="N181" s="702"/>
      <c r="O181" s="653">
        <f>F181+K181</f>
        <v>0</v>
      </c>
      <c r="Q181" s="1044">
        <f>IF(O181&gt;(F181+K181),"ERRORE","")</f>
      </c>
    </row>
    <row r="182" spans="1:17" ht="30" customHeight="1">
      <c r="A182" s="547">
        <v>6</v>
      </c>
      <c r="B182" s="1093" t="s">
        <v>20</v>
      </c>
      <c r="C182" s="1094">
        <v>1134</v>
      </c>
      <c r="D182" s="398" t="s">
        <v>82</v>
      </c>
      <c r="E182" s="399" t="s">
        <v>951</v>
      </c>
      <c r="F182" s="400"/>
      <c r="G182" s="400"/>
      <c r="H182" s="400"/>
      <c r="I182" s="400"/>
      <c r="J182" s="703"/>
      <c r="K182" s="702"/>
      <c r="L182" s="703"/>
      <c r="M182" s="703"/>
      <c r="N182" s="702"/>
      <c r="O182" s="653">
        <f>F182+K182</f>
        <v>0</v>
      </c>
      <c r="Q182" s="385">
        <f>IF(O182&gt;(F182+K182),"ERRORE","")</f>
      </c>
    </row>
    <row r="183" spans="1:17" ht="30" customHeight="1">
      <c r="A183" s="547">
        <v>6</v>
      </c>
      <c r="B183" s="1093" t="s">
        <v>20</v>
      </c>
      <c r="C183" s="1094">
        <v>1135</v>
      </c>
      <c r="D183" s="398" t="s">
        <v>82</v>
      </c>
      <c r="E183" s="399" t="s">
        <v>1062</v>
      </c>
      <c r="F183" s="400"/>
      <c r="G183" s="400"/>
      <c r="H183" s="400"/>
      <c r="I183" s="400"/>
      <c r="J183" s="703">
        <v>160000</v>
      </c>
      <c r="K183" s="1152">
        <v>160000</v>
      </c>
      <c r="L183" s="703"/>
      <c r="M183" s="703"/>
      <c r="N183" s="702"/>
      <c r="O183" s="653">
        <f>F183+K183</f>
        <v>160000</v>
      </c>
      <c r="Q183" s="385">
        <f>IF(O183&gt;(F183+K183),"ERRORE","")</f>
      </c>
    </row>
    <row r="184" spans="1:17" ht="30" customHeight="1">
      <c r="A184" s="1118">
        <v>6</v>
      </c>
      <c r="B184" s="1087" t="s">
        <v>20</v>
      </c>
      <c r="C184" s="1090">
        <v>1231</v>
      </c>
      <c r="D184" s="401" t="s">
        <v>82</v>
      </c>
      <c r="E184" s="311" t="s">
        <v>674</v>
      </c>
      <c r="F184" s="391">
        <v>18119.53</v>
      </c>
      <c r="G184" s="391"/>
      <c r="H184" s="391"/>
      <c r="I184" s="391"/>
      <c r="J184" s="614"/>
      <c r="K184" s="615"/>
      <c r="L184" s="614"/>
      <c r="M184" s="614"/>
      <c r="N184" s="615"/>
      <c r="O184" s="653">
        <f>F184+K184</f>
        <v>18119.53</v>
      </c>
      <c r="Q184" s="1044">
        <f>IF(O184&gt;(F184+K184),"ERRORE","")</f>
      </c>
    </row>
    <row r="185" spans="1:17" ht="30" customHeight="1" thickBot="1">
      <c r="A185" s="1122">
        <v>6</v>
      </c>
      <c r="B185" s="1116" t="s">
        <v>20</v>
      </c>
      <c r="C185" s="1123">
        <v>1176</v>
      </c>
      <c r="D185" s="416" t="s">
        <v>82</v>
      </c>
      <c r="E185" s="1025" t="s">
        <v>654</v>
      </c>
      <c r="F185" s="1026"/>
      <c r="G185" s="1026"/>
      <c r="H185" s="1026"/>
      <c r="I185" s="1026"/>
      <c r="J185" s="714"/>
      <c r="K185" s="723"/>
      <c r="L185" s="714"/>
      <c r="M185" s="714"/>
      <c r="N185" s="723"/>
      <c r="O185" s="656">
        <f>F185+K185</f>
        <v>0</v>
      </c>
      <c r="Q185" s="1044">
        <f>IF(O185&gt;(F185+K185),"ERRORE","")</f>
      </c>
    </row>
    <row r="186" spans="1:15" ht="30" customHeight="1" thickBot="1">
      <c r="A186" s="1233" t="s">
        <v>595</v>
      </c>
      <c r="B186" s="1234"/>
      <c r="C186" s="1234"/>
      <c r="D186" s="1234"/>
      <c r="E186" s="1235"/>
      <c r="F186" s="719">
        <f aca="true" t="shared" si="40" ref="F186:O186">SUM(F181:F185)</f>
        <v>18119.53</v>
      </c>
      <c r="G186" s="719">
        <f t="shared" si="40"/>
        <v>0</v>
      </c>
      <c r="H186" s="719">
        <f t="shared" si="40"/>
        <v>0</v>
      </c>
      <c r="I186" s="719">
        <f t="shared" si="40"/>
        <v>0</v>
      </c>
      <c r="J186" s="719">
        <f t="shared" si="40"/>
        <v>160000</v>
      </c>
      <c r="K186" s="719">
        <f t="shared" si="40"/>
        <v>160000</v>
      </c>
      <c r="L186" s="719"/>
      <c r="M186" s="719">
        <f t="shared" si="40"/>
        <v>0</v>
      </c>
      <c r="N186" s="719">
        <f t="shared" si="40"/>
        <v>0</v>
      </c>
      <c r="O186" s="654">
        <f t="shared" si="40"/>
        <v>178119.53</v>
      </c>
    </row>
    <row r="187" spans="1:17" s="448" customFormat="1" ht="30" customHeight="1" thickBot="1">
      <c r="A187" s="1244" t="s">
        <v>21</v>
      </c>
      <c r="B187" s="1245"/>
      <c r="C187" s="1245"/>
      <c r="D187" s="1245"/>
      <c r="E187" s="1245"/>
      <c r="F187" s="825">
        <f aca="true" t="shared" si="41" ref="F187:O187">F186</f>
        <v>18119.53</v>
      </c>
      <c r="G187" s="825">
        <f t="shared" si="41"/>
        <v>0</v>
      </c>
      <c r="H187" s="825">
        <f t="shared" si="41"/>
        <v>0</v>
      </c>
      <c r="I187" s="825">
        <f t="shared" si="41"/>
        <v>0</v>
      </c>
      <c r="J187" s="825">
        <f t="shared" si="41"/>
        <v>160000</v>
      </c>
      <c r="K187" s="825">
        <f t="shared" si="41"/>
        <v>160000</v>
      </c>
      <c r="L187" s="825"/>
      <c r="M187" s="825">
        <f t="shared" si="41"/>
        <v>0</v>
      </c>
      <c r="N187" s="826">
        <f t="shared" si="41"/>
        <v>0</v>
      </c>
      <c r="O187" s="827">
        <f t="shared" si="41"/>
        <v>178119.53</v>
      </c>
      <c r="Q187" s="370"/>
    </row>
    <row r="188" spans="1:17" s="397" customFormat="1" ht="30" customHeight="1" thickBot="1">
      <c r="A188" s="1242" t="s">
        <v>22</v>
      </c>
      <c r="B188" s="1243"/>
      <c r="C188" s="1243"/>
      <c r="D188" s="1243"/>
      <c r="E188" s="1243"/>
      <c r="F188" s="1243"/>
      <c r="G188" s="1243"/>
      <c r="H188" s="1243"/>
      <c r="I188" s="1243"/>
      <c r="J188" s="1243"/>
      <c r="K188" s="1243"/>
      <c r="L188" s="1243"/>
      <c r="M188" s="1243"/>
      <c r="N188" s="1243"/>
      <c r="O188" s="1243"/>
      <c r="Q188" s="370"/>
    </row>
    <row r="189" spans="1:17" s="397" customFormat="1" ht="52.5" customHeight="1" thickBot="1">
      <c r="A189" s="403" t="str">
        <f>A5</f>
        <v>Titolo</v>
      </c>
      <c r="B189" s="404" t="str">
        <f>B5</f>
        <v>Tipologia</v>
      </c>
      <c r="C189" s="404" t="str">
        <f>C5</f>
        <v>Capitolo</v>
      </c>
      <c r="D189" s="405" t="s">
        <v>431</v>
      </c>
      <c r="E189" s="404" t="str">
        <f>E5</f>
        <v>DESCRIZIONE</v>
      </c>
      <c r="F189" s="404" t="str">
        <f>F5</f>
        <v>RESIDUI PRESUNTI AL 17.01.2023</v>
      </c>
      <c r="G189" s="404" t="str">
        <f>G5</f>
        <v>PREVISIONE INIZIALE 2022</v>
      </c>
      <c r="H189" s="404" t="str">
        <f>H5</f>
        <v>ACCERTAMENTI AL 17.01.2023</v>
      </c>
      <c r="I189" s="404" t="str">
        <f>I5</f>
        <v>DIFFERENZA TRA ACCERTATO E ASSESTATO</v>
      </c>
      <c r="J189" s="710" t="str">
        <f>J5</f>
        <v>PREVISIONE 2022 ASSESTATA AL 17.01.2023</v>
      </c>
      <c r="K189" s="710" t="str">
        <f>K5</f>
        <v>PREVISIONE 2023</v>
      </c>
      <c r="L189" s="710"/>
      <c r="M189" s="710" t="str">
        <f>M5</f>
        <v>PREVISIONE 2024</v>
      </c>
      <c r="N189" s="421" t="str">
        <f>N5</f>
        <v>PREVISIONE 2025</v>
      </c>
      <c r="O189" s="668" t="str">
        <f>O5</f>
        <v>PREVISIONE DI CASSA 2023</v>
      </c>
      <c r="Q189" s="370"/>
    </row>
    <row r="190" spans="1:17" ht="30" customHeight="1" thickBot="1">
      <c r="A190" s="1122">
        <v>7</v>
      </c>
      <c r="B190" s="1116" t="s">
        <v>23</v>
      </c>
      <c r="C190" s="1123">
        <v>1090</v>
      </c>
      <c r="D190" s="416" t="s">
        <v>89</v>
      </c>
      <c r="E190" s="449" t="s">
        <v>463</v>
      </c>
      <c r="F190" s="413">
        <v>0</v>
      </c>
      <c r="G190" s="413"/>
      <c r="H190" s="413">
        <v>0</v>
      </c>
      <c r="I190" s="413">
        <v>0</v>
      </c>
      <c r="J190" s="723">
        <v>900000</v>
      </c>
      <c r="K190" s="723">
        <v>900000</v>
      </c>
      <c r="L190" s="714"/>
      <c r="M190" s="714">
        <v>900000</v>
      </c>
      <c r="N190" s="722">
        <v>900000</v>
      </c>
      <c r="O190" s="656">
        <f>F190+K190</f>
        <v>900000</v>
      </c>
      <c r="Q190" s="1044">
        <f>IF(O190&gt;(F190+K190),"ERRORE","")</f>
      </c>
    </row>
    <row r="191" spans="1:17" s="451" customFormat="1" ht="30" customHeight="1" thickBot="1">
      <c r="A191" s="1255" t="s">
        <v>596</v>
      </c>
      <c r="B191" s="1256"/>
      <c r="C191" s="1256"/>
      <c r="D191" s="1256"/>
      <c r="E191" s="1257"/>
      <c r="F191" s="642">
        <f aca="true" t="shared" si="42" ref="F191:N191">SUM(F190)</f>
        <v>0</v>
      </c>
      <c r="G191" s="450">
        <f t="shared" si="42"/>
        <v>0</v>
      </c>
      <c r="H191" s="450">
        <f t="shared" si="42"/>
        <v>0</v>
      </c>
      <c r="I191" s="450">
        <f t="shared" si="42"/>
        <v>0</v>
      </c>
      <c r="J191" s="724">
        <f t="shared" si="42"/>
        <v>900000</v>
      </c>
      <c r="K191" s="724">
        <f t="shared" si="42"/>
        <v>900000</v>
      </c>
      <c r="L191" s="724"/>
      <c r="M191" s="724">
        <f t="shared" si="42"/>
        <v>900000</v>
      </c>
      <c r="N191" s="450">
        <f t="shared" si="42"/>
        <v>900000</v>
      </c>
      <c r="O191" s="660">
        <f>SUM(O190)</f>
        <v>900000</v>
      </c>
      <c r="Q191" s="1044">
        <f>IF(O191&gt;(F191+K191),"ERRORE","")</f>
      </c>
    </row>
    <row r="192" spans="1:17" s="395" customFormat="1" ht="30" customHeight="1" thickBot="1">
      <c r="A192" s="1244" t="s">
        <v>364</v>
      </c>
      <c r="B192" s="1245"/>
      <c r="C192" s="1245"/>
      <c r="D192" s="1245"/>
      <c r="E192" s="1245"/>
      <c r="F192" s="816">
        <f aca="true" t="shared" si="43" ref="F192:N192">F191</f>
        <v>0</v>
      </c>
      <c r="G192" s="816">
        <f t="shared" si="43"/>
        <v>0</v>
      </c>
      <c r="H192" s="816">
        <f t="shared" si="43"/>
        <v>0</v>
      </c>
      <c r="I192" s="816">
        <f t="shared" si="43"/>
        <v>0</v>
      </c>
      <c r="J192" s="816">
        <f t="shared" si="43"/>
        <v>900000</v>
      </c>
      <c r="K192" s="816">
        <f t="shared" si="43"/>
        <v>900000</v>
      </c>
      <c r="L192" s="816"/>
      <c r="M192" s="816">
        <f t="shared" si="43"/>
        <v>900000</v>
      </c>
      <c r="N192" s="816">
        <f t="shared" si="43"/>
        <v>900000</v>
      </c>
      <c r="O192" s="820">
        <f>O191</f>
        <v>900000</v>
      </c>
      <c r="Q192" s="370">
        <f>IF(O192&gt;(F192+K192),"ERRORE","")</f>
      </c>
    </row>
    <row r="193" spans="1:17" s="395" customFormat="1" ht="30" customHeight="1" thickBot="1">
      <c r="A193" s="1242" t="s">
        <v>24</v>
      </c>
      <c r="B193" s="1243"/>
      <c r="C193" s="1243"/>
      <c r="D193" s="1243"/>
      <c r="E193" s="1243"/>
      <c r="F193" s="1243"/>
      <c r="G193" s="1243"/>
      <c r="H193" s="1243"/>
      <c r="I193" s="1243"/>
      <c r="J193" s="1243"/>
      <c r="K193" s="1243"/>
      <c r="L193" s="1243"/>
      <c r="M193" s="1243"/>
      <c r="N193" s="1243"/>
      <c r="O193" s="1243"/>
      <c r="Q193" s="370"/>
    </row>
    <row r="194" spans="1:17" s="397" customFormat="1" ht="69.75" customHeight="1" thickBot="1">
      <c r="A194" s="403" t="str">
        <f>A5</f>
        <v>Titolo</v>
      </c>
      <c r="B194" s="404" t="str">
        <f>B5</f>
        <v>Tipologia</v>
      </c>
      <c r="C194" s="404" t="str">
        <f>C5</f>
        <v>Capitolo</v>
      </c>
      <c r="D194" s="405" t="s">
        <v>431</v>
      </c>
      <c r="E194" s="404" t="str">
        <f>E5</f>
        <v>DESCRIZIONE</v>
      </c>
      <c r="F194" s="404" t="str">
        <f>F5</f>
        <v>RESIDUI PRESUNTI AL 17.01.2023</v>
      </c>
      <c r="G194" s="404" t="str">
        <f>G5</f>
        <v>PREVISIONE INIZIALE 2022</v>
      </c>
      <c r="H194" s="404" t="str">
        <f>H5</f>
        <v>ACCERTAMENTI AL 17.01.2023</v>
      </c>
      <c r="I194" s="404" t="str">
        <f>I5</f>
        <v>DIFFERENZA TRA ACCERTATO E ASSESTATO</v>
      </c>
      <c r="J194" s="710" t="str">
        <f>J5</f>
        <v>PREVISIONE 2022 ASSESTATA AL 17.01.2023</v>
      </c>
      <c r="K194" s="710" t="str">
        <f>K5</f>
        <v>PREVISIONE 2023</v>
      </c>
      <c r="L194" s="710"/>
      <c r="M194" s="710" t="str">
        <f>M5</f>
        <v>PREVISIONE 2024</v>
      </c>
      <c r="N194" s="404" t="str">
        <f>N5</f>
        <v>PREVISIONE 2025</v>
      </c>
      <c r="O194" s="668" t="str">
        <f>O5</f>
        <v>PREVISIONE DI CASSA 2023</v>
      </c>
      <c r="Q194" s="370"/>
    </row>
    <row r="195" spans="1:17" s="664" customFormat="1" ht="30" customHeight="1">
      <c r="A195" s="1140">
        <v>9</v>
      </c>
      <c r="B195" s="1088" t="s">
        <v>25</v>
      </c>
      <c r="C195" s="1102">
        <v>6001</v>
      </c>
      <c r="D195" s="645" t="s">
        <v>434</v>
      </c>
      <c r="E195" s="1021" t="s">
        <v>201</v>
      </c>
      <c r="F195" s="614">
        <v>126220.89</v>
      </c>
      <c r="G195" s="614"/>
      <c r="H195" s="614">
        <v>150333.16</v>
      </c>
      <c r="I195" s="614"/>
      <c r="J195" s="614">
        <v>150000</v>
      </c>
      <c r="K195" s="615">
        <v>150000</v>
      </c>
      <c r="L195" s="615"/>
      <c r="M195" s="615">
        <v>150000</v>
      </c>
      <c r="N195" s="615">
        <v>150000</v>
      </c>
      <c r="O195" s="616">
        <f aca="true" t="shared" si="44" ref="O195:O202">F195+K195</f>
        <v>276220.89</v>
      </c>
      <c r="Q195" s="1141">
        <f aca="true" t="shared" si="45" ref="Q195:Q202">IF(O195&gt;(F195+K195),"ERRORE","")</f>
      </c>
    </row>
    <row r="196" spans="1:17" s="664" customFormat="1" ht="30" customHeight="1">
      <c r="A196" s="1140">
        <v>9</v>
      </c>
      <c r="B196" s="1088" t="s">
        <v>25</v>
      </c>
      <c r="C196" s="1102" t="s">
        <v>465</v>
      </c>
      <c r="D196" s="647" t="s">
        <v>437</v>
      </c>
      <c r="E196" s="1021" t="s">
        <v>449</v>
      </c>
      <c r="F196" s="614">
        <v>316.56</v>
      </c>
      <c r="G196" s="614"/>
      <c r="H196" s="614">
        <v>12510.41</v>
      </c>
      <c r="I196" s="614"/>
      <c r="J196" s="614">
        <v>100000</v>
      </c>
      <c r="K196" s="615">
        <v>100000</v>
      </c>
      <c r="L196" s="615"/>
      <c r="M196" s="615">
        <v>100000</v>
      </c>
      <c r="N196" s="615">
        <v>100000</v>
      </c>
      <c r="O196" s="616">
        <f t="shared" si="44"/>
        <v>100316.56</v>
      </c>
      <c r="Q196" s="1010">
        <f t="shared" si="45"/>
      </c>
    </row>
    <row r="197" spans="1:17" s="664" customFormat="1" ht="30" customHeight="1">
      <c r="A197" s="1140">
        <v>9</v>
      </c>
      <c r="B197" s="1088" t="s">
        <v>25</v>
      </c>
      <c r="C197" s="1102">
        <v>6003</v>
      </c>
      <c r="D197" s="645" t="s">
        <v>94</v>
      </c>
      <c r="E197" s="830" t="s">
        <v>820</v>
      </c>
      <c r="F197" s="614">
        <v>1352.55</v>
      </c>
      <c r="G197" s="614"/>
      <c r="H197" s="614">
        <v>2800</v>
      </c>
      <c r="I197" s="614"/>
      <c r="J197" s="614">
        <v>20000</v>
      </c>
      <c r="K197" s="615">
        <v>20000</v>
      </c>
      <c r="L197" s="615"/>
      <c r="M197" s="615">
        <v>20000</v>
      </c>
      <c r="N197" s="615">
        <v>20000</v>
      </c>
      <c r="O197" s="616">
        <f t="shared" si="44"/>
        <v>21352.55</v>
      </c>
      <c r="Q197" s="1010">
        <f t="shared" si="45"/>
      </c>
    </row>
    <row r="198" spans="1:17" s="664" customFormat="1" ht="30" customHeight="1">
      <c r="A198" s="1140">
        <v>9</v>
      </c>
      <c r="B198" s="1088" t="s">
        <v>25</v>
      </c>
      <c r="C198" s="1102">
        <v>6006</v>
      </c>
      <c r="D198" s="645" t="s">
        <v>92</v>
      </c>
      <c r="E198" s="830" t="s">
        <v>493</v>
      </c>
      <c r="F198" s="614">
        <v>4571.77</v>
      </c>
      <c r="G198" s="614"/>
      <c r="H198" s="614"/>
      <c r="I198" s="614"/>
      <c r="J198" s="614">
        <v>5200</v>
      </c>
      <c r="K198" s="615">
        <v>5200</v>
      </c>
      <c r="L198" s="615"/>
      <c r="M198" s="615">
        <v>5200</v>
      </c>
      <c r="N198" s="615">
        <v>5200</v>
      </c>
      <c r="O198" s="616">
        <f t="shared" si="44"/>
        <v>9771.77</v>
      </c>
      <c r="Q198" s="1141">
        <f t="shared" si="45"/>
      </c>
    </row>
    <row r="199" spans="1:17" s="664" customFormat="1" ht="30" customHeight="1">
      <c r="A199" s="997">
        <v>9</v>
      </c>
      <c r="B199" s="1089" t="s">
        <v>25</v>
      </c>
      <c r="C199" s="1100">
        <v>6009</v>
      </c>
      <c r="D199" s="1017" t="s">
        <v>90</v>
      </c>
      <c r="E199" s="1018" t="s">
        <v>425</v>
      </c>
      <c r="F199" s="713"/>
      <c r="G199" s="713"/>
      <c r="H199" s="713"/>
      <c r="I199" s="713"/>
      <c r="J199" s="713">
        <v>10000</v>
      </c>
      <c r="K199" s="702">
        <v>10000</v>
      </c>
      <c r="L199" s="702"/>
      <c r="M199" s="702">
        <v>10000</v>
      </c>
      <c r="N199" s="702">
        <v>10000</v>
      </c>
      <c r="O199" s="653">
        <f t="shared" si="44"/>
        <v>10000</v>
      </c>
      <c r="Q199" s="1141">
        <f t="shared" si="45"/>
      </c>
    </row>
    <row r="200" spans="1:17" s="664" customFormat="1" ht="30" customHeight="1">
      <c r="A200" s="1140">
        <v>9</v>
      </c>
      <c r="B200" s="1088" t="s">
        <v>25</v>
      </c>
      <c r="C200" s="1102">
        <v>6010</v>
      </c>
      <c r="D200" s="645" t="s">
        <v>436</v>
      </c>
      <c r="E200" s="830" t="s">
        <v>194</v>
      </c>
      <c r="F200" s="704">
        <v>5220.11</v>
      </c>
      <c r="G200" s="704"/>
      <c r="H200" s="704">
        <v>99625</v>
      </c>
      <c r="I200" s="704"/>
      <c r="J200" s="704">
        <v>100000</v>
      </c>
      <c r="K200" s="615">
        <v>100000</v>
      </c>
      <c r="L200" s="615"/>
      <c r="M200" s="615">
        <v>100000</v>
      </c>
      <c r="N200" s="615">
        <v>100000</v>
      </c>
      <c r="O200" s="991">
        <f t="shared" si="44"/>
        <v>105220.11</v>
      </c>
      <c r="Q200" s="1010">
        <f t="shared" si="45"/>
      </c>
    </row>
    <row r="201" spans="1:17" s="664" customFormat="1" ht="30" customHeight="1">
      <c r="A201" s="1140">
        <v>9</v>
      </c>
      <c r="B201" s="1088" t="s">
        <v>25</v>
      </c>
      <c r="C201" s="1102">
        <v>6011</v>
      </c>
      <c r="D201" s="645" t="s">
        <v>434</v>
      </c>
      <c r="E201" s="1021" t="s">
        <v>448</v>
      </c>
      <c r="F201" s="614"/>
      <c r="G201" s="614"/>
      <c r="H201" s="614">
        <v>28</v>
      </c>
      <c r="I201" s="614"/>
      <c r="J201" s="614">
        <v>10000</v>
      </c>
      <c r="K201" s="615">
        <v>10000</v>
      </c>
      <c r="L201" s="615"/>
      <c r="M201" s="615">
        <v>10000</v>
      </c>
      <c r="N201" s="615">
        <v>10000</v>
      </c>
      <c r="O201" s="616">
        <f t="shared" si="44"/>
        <v>10000</v>
      </c>
      <c r="Q201" s="1010">
        <f t="shared" si="45"/>
      </c>
    </row>
    <row r="202" spans="1:17" s="664" customFormat="1" ht="30" customHeight="1" thickBot="1">
      <c r="A202" s="1140">
        <v>9</v>
      </c>
      <c r="B202" s="1088" t="s">
        <v>25</v>
      </c>
      <c r="C202" s="1102">
        <v>6012</v>
      </c>
      <c r="D202" s="647" t="s">
        <v>282</v>
      </c>
      <c r="E202" s="1021" t="s">
        <v>283</v>
      </c>
      <c r="F202" s="614"/>
      <c r="G202" s="614"/>
      <c r="H202" s="614">
        <v>202566.24</v>
      </c>
      <c r="I202" s="614"/>
      <c r="J202" s="614">
        <v>200000</v>
      </c>
      <c r="K202" s="615">
        <v>200000</v>
      </c>
      <c r="L202" s="615"/>
      <c r="M202" s="615">
        <v>200000</v>
      </c>
      <c r="N202" s="615">
        <v>200000</v>
      </c>
      <c r="O202" s="616">
        <f t="shared" si="44"/>
        <v>200000</v>
      </c>
      <c r="Q202" s="1010">
        <f t="shared" si="45"/>
      </c>
    </row>
    <row r="203" spans="1:17" s="662" customFormat="1" ht="30" customHeight="1" thickBot="1">
      <c r="A203" s="1236" t="s">
        <v>597</v>
      </c>
      <c r="B203" s="1237"/>
      <c r="C203" s="1237"/>
      <c r="D203" s="1237"/>
      <c r="E203" s="1258"/>
      <c r="F203" s="998">
        <f aca="true" t="shared" si="46" ref="F203:O203">SUM(F195:F202)</f>
        <v>137681.87999999998</v>
      </c>
      <c r="G203" s="725">
        <f t="shared" si="46"/>
        <v>0</v>
      </c>
      <c r="H203" s="725">
        <f t="shared" si="46"/>
        <v>467862.81</v>
      </c>
      <c r="I203" s="725">
        <f t="shared" si="46"/>
        <v>0</v>
      </c>
      <c r="J203" s="725">
        <f t="shared" si="46"/>
        <v>595200</v>
      </c>
      <c r="K203" s="725">
        <f t="shared" si="46"/>
        <v>595200</v>
      </c>
      <c r="L203" s="725"/>
      <c r="M203" s="725">
        <f t="shared" si="46"/>
        <v>595200</v>
      </c>
      <c r="N203" s="725">
        <f t="shared" si="46"/>
        <v>595200</v>
      </c>
      <c r="O203" s="654">
        <f t="shared" si="46"/>
        <v>732881.88</v>
      </c>
      <c r="Q203" s="1142"/>
    </row>
    <row r="204" spans="1:17" s="664" customFormat="1" ht="30" customHeight="1">
      <c r="A204" s="997">
        <v>9</v>
      </c>
      <c r="B204" s="1089" t="s">
        <v>26</v>
      </c>
      <c r="C204" s="1100">
        <v>6004</v>
      </c>
      <c r="D204" s="1017" t="s">
        <v>91</v>
      </c>
      <c r="E204" s="1019" t="s">
        <v>203</v>
      </c>
      <c r="F204" s="703">
        <v>1092.32</v>
      </c>
      <c r="G204" s="703"/>
      <c r="H204" s="703"/>
      <c r="I204" s="703"/>
      <c r="J204" s="703">
        <v>50000</v>
      </c>
      <c r="K204" s="702">
        <v>50000</v>
      </c>
      <c r="L204" s="702"/>
      <c r="M204" s="702">
        <v>50000</v>
      </c>
      <c r="N204" s="702">
        <v>50000</v>
      </c>
      <c r="O204" s="655">
        <f>F204+K204</f>
        <v>51092.32</v>
      </c>
      <c r="Q204" s="1141">
        <f>IF(O204&gt;(F204+K204),"ERRORE","")</f>
      </c>
    </row>
    <row r="205" spans="1:17" s="664" customFormat="1" ht="30" customHeight="1">
      <c r="A205" s="1143">
        <v>9</v>
      </c>
      <c r="B205" s="1097" t="s">
        <v>26</v>
      </c>
      <c r="C205" s="1103">
        <v>6005</v>
      </c>
      <c r="D205" s="1011" t="s">
        <v>435</v>
      </c>
      <c r="E205" s="1144" t="s">
        <v>204</v>
      </c>
      <c r="F205" s="712">
        <v>38776.12</v>
      </c>
      <c r="G205" s="712"/>
      <c r="H205" s="712">
        <v>72254.04</v>
      </c>
      <c r="I205" s="712"/>
      <c r="J205" s="712">
        <v>150000</v>
      </c>
      <c r="K205" s="711">
        <v>150000</v>
      </c>
      <c r="L205" s="711"/>
      <c r="M205" s="711">
        <v>150000</v>
      </c>
      <c r="N205" s="711">
        <v>150000</v>
      </c>
      <c r="O205" s="991">
        <f>F205+K205</f>
        <v>188776.12</v>
      </c>
      <c r="Q205" s="1141">
        <f>IF(O205&gt;(F205+K205),"ERRORE","")</f>
      </c>
    </row>
    <row r="206" spans="1:17" ht="30" customHeight="1" thickBot="1">
      <c r="A206" s="1118">
        <v>9</v>
      </c>
      <c r="B206" s="1087" t="s">
        <v>26</v>
      </c>
      <c r="C206" s="1128">
        <v>6007</v>
      </c>
      <c r="D206" s="401" t="s">
        <v>91</v>
      </c>
      <c r="E206" s="390" t="s">
        <v>205</v>
      </c>
      <c r="F206" s="614"/>
      <c r="G206" s="614"/>
      <c r="H206" s="614"/>
      <c r="I206" s="614"/>
      <c r="J206" s="614">
        <v>20000</v>
      </c>
      <c r="K206" s="615">
        <v>20000</v>
      </c>
      <c r="L206" s="615"/>
      <c r="M206" s="615">
        <v>20000</v>
      </c>
      <c r="N206" s="615">
        <v>20000</v>
      </c>
      <c r="O206" s="616">
        <f>F206+K206</f>
        <v>20000</v>
      </c>
      <c r="Q206" s="1044">
        <f>IF(O206&gt;(F206+K206),"ERRORE","")</f>
      </c>
    </row>
    <row r="207" spans="1:15" ht="30" customHeight="1" thickBot="1">
      <c r="A207" s="1233" t="s">
        <v>599</v>
      </c>
      <c r="B207" s="1234"/>
      <c r="C207" s="1234"/>
      <c r="D207" s="1234"/>
      <c r="E207" s="1235"/>
      <c r="F207" s="719">
        <f aca="true" t="shared" si="47" ref="F207:O207">SUM(F204:F206)</f>
        <v>39868.44</v>
      </c>
      <c r="G207" s="719">
        <f t="shared" si="47"/>
        <v>0</v>
      </c>
      <c r="H207" s="719">
        <f t="shared" si="47"/>
        <v>72254.04</v>
      </c>
      <c r="I207" s="719">
        <f t="shared" si="47"/>
        <v>0</v>
      </c>
      <c r="J207" s="719">
        <f t="shared" si="47"/>
        <v>220000</v>
      </c>
      <c r="K207" s="719">
        <f t="shared" si="47"/>
        <v>220000</v>
      </c>
      <c r="L207" s="719"/>
      <c r="M207" s="719">
        <f t="shared" si="47"/>
        <v>220000</v>
      </c>
      <c r="N207" s="719">
        <f t="shared" si="47"/>
        <v>220000</v>
      </c>
      <c r="O207" s="654">
        <f t="shared" si="47"/>
        <v>259868.44</v>
      </c>
    </row>
    <row r="208" spans="1:17" s="454" customFormat="1" ht="30" customHeight="1" thickBot="1">
      <c r="A208" s="1251" t="s">
        <v>81</v>
      </c>
      <c r="B208" s="1252"/>
      <c r="C208" s="1252"/>
      <c r="D208" s="1252"/>
      <c r="E208" s="1252"/>
      <c r="F208" s="828">
        <f aca="true" t="shared" si="48" ref="F208:O208">F203+F207</f>
        <v>177550.31999999998</v>
      </c>
      <c r="G208" s="828">
        <f t="shared" si="48"/>
        <v>0</v>
      </c>
      <c r="H208" s="828">
        <f t="shared" si="48"/>
        <v>540116.85</v>
      </c>
      <c r="I208" s="828">
        <f t="shared" si="48"/>
        <v>0</v>
      </c>
      <c r="J208" s="828">
        <f t="shared" si="48"/>
        <v>815200</v>
      </c>
      <c r="K208" s="828">
        <f t="shared" si="48"/>
        <v>815200</v>
      </c>
      <c r="L208" s="828"/>
      <c r="M208" s="828">
        <f t="shared" si="48"/>
        <v>815200</v>
      </c>
      <c r="N208" s="828">
        <f t="shared" si="48"/>
        <v>815200</v>
      </c>
      <c r="O208" s="813">
        <f t="shared" si="48"/>
        <v>992750.3200000001</v>
      </c>
      <c r="Q208" s="370"/>
    </row>
    <row r="209" spans="1:17" s="395" customFormat="1" ht="9.75" customHeight="1" thickBot="1">
      <c r="A209" s="455"/>
      <c r="B209" s="444"/>
      <c r="C209" s="444"/>
      <c r="D209" s="456"/>
      <c r="E209" s="444"/>
      <c r="F209" s="444"/>
      <c r="G209" s="444"/>
      <c r="H209" s="444"/>
      <c r="I209" s="444"/>
      <c r="J209" s="594"/>
      <c r="K209" s="661"/>
      <c r="L209" s="661"/>
      <c r="M209" s="661"/>
      <c r="O209" s="661"/>
      <c r="Q209" s="370"/>
    </row>
    <row r="210" spans="1:17" s="395" customFormat="1" ht="30" customHeight="1" thickBot="1" thickTop="1">
      <c r="A210" s="1249" t="s">
        <v>134</v>
      </c>
      <c r="B210" s="1250"/>
      <c r="C210" s="1250"/>
      <c r="D210" s="1250"/>
      <c r="E210" s="1250"/>
      <c r="F210" s="726">
        <f>F18+F67+F103+F172+F187+F192+F208</f>
        <v>4427710.78</v>
      </c>
      <c r="G210" s="457">
        <f>G18+G67+G103+G172+G187+G192+G208</f>
        <v>2142340</v>
      </c>
      <c r="H210" s="457">
        <f>H18+H67+H103+H172+H187+H192+H208</f>
        <v>5917151.879999999</v>
      </c>
      <c r="I210" s="457">
        <f>I18+I67+I103+I172+I187+I192+I208</f>
        <v>-285095.5500000001</v>
      </c>
      <c r="J210" s="726">
        <f>J18+J67+J103+J172+J177+J187+J192+J208</f>
        <v>9607466.280000001</v>
      </c>
      <c r="K210" s="726">
        <f>K18+K67+K103+K172+K177+K187+K192+K208</f>
        <v>7110058</v>
      </c>
      <c r="L210" s="726"/>
      <c r="M210" s="726">
        <f>M18+M67+M103+M172+M177+M187+M192+M208</f>
        <v>5982507</v>
      </c>
      <c r="N210" s="457">
        <f>N18+N67+N103+N172+N177+N187+N192+N208</f>
        <v>5543005</v>
      </c>
      <c r="O210" s="457">
        <f>O18+O67+O103+O172+O177+O187+O192+O208</f>
        <v>11737768.78</v>
      </c>
      <c r="P210" s="458"/>
      <c r="Q210" s="370"/>
    </row>
    <row r="211" spans="5:17" s="412" customFormat="1" ht="30" customHeight="1" thickBot="1" thickTop="1">
      <c r="E211" s="459" t="s">
        <v>450</v>
      </c>
      <c r="F211" s="460"/>
      <c r="G211" s="461"/>
      <c r="H211" s="463"/>
      <c r="J211" s="1130">
        <v>328139.42</v>
      </c>
      <c r="K211" s="727"/>
      <c r="L211" s="727"/>
      <c r="M211" s="728">
        <v>0</v>
      </c>
      <c r="N211" s="462">
        <v>0</v>
      </c>
      <c r="O211" s="989"/>
      <c r="Q211" s="370"/>
    </row>
    <row r="212" spans="5:17" s="412" customFormat="1" ht="30" customHeight="1" thickBot="1">
      <c r="E212" s="464" t="s">
        <v>451</v>
      </c>
      <c r="F212" s="465"/>
      <c r="G212" s="393"/>
      <c r="H212" s="463"/>
      <c r="J212" s="1131">
        <v>1126337.82</v>
      </c>
      <c r="K212" s="654"/>
      <c r="L212" s="654"/>
      <c r="M212" s="654">
        <v>0</v>
      </c>
      <c r="N212" s="411">
        <v>0</v>
      </c>
      <c r="O212" s="1081"/>
      <c r="Q212" s="370"/>
    </row>
    <row r="213" spans="5:17" s="412" customFormat="1" ht="30" customHeight="1" thickBot="1">
      <c r="E213" s="464" t="s">
        <v>329</v>
      </c>
      <c r="F213" s="465"/>
      <c r="G213" s="393"/>
      <c r="H213" s="463"/>
      <c r="J213" s="1131">
        <v>37244.89</v>
      </c>
      <c r="K213" s="654">
        <v>0</v>
      </c>
      <c r="L213" s="654"/>
      <c r="M213" s="654">
        <v>0</v>
      </c>
      <c r="N213" s="411">
        <v>0</v>
      </c>
      <c r="O213" s="662"/>
      <c r="Q213" s="370"/>
    </row>
    <row r="214" spans="1:17" s="412" customFormat="1" ht="30" customHeight="1" thickBot="1">
      <c r="A214" s="466"/>
      <c r="B214" s="466"/>
      <c r="C214" s="466"/>
      <c r="D214" s="370"/>
      <c r="E214" s="464" t="s">
        <v>330</v>
      </c>
      <c r="F214" s="465"/>
      <c r="G214" s="393"/>
      <c r="H214" s="463"/>
      <c r="J214" s="1131">
        <v>119000</v>
      </c>
      <c r="K214" s="654">
        <v>0</v>
      </c>
      <c r="L214" s="654"/>
      <c r="M214" s="654">
        <v>0</v>
      </c>
      <c r="N214" s="411">
        <v>0</v>
      </c>
      <c r="O214" s="662"/>
      <c r="Q214" s="370"/>
    </row>
    <row r="215" spans="1:17" s="472" customFormat="1" ht="30" customHeight="1" thickBot="1">
      <c r="A215" s="467"/>
      <c r="B215" s="467"/>
      <c r="C215" s="467"/>
      <c r="D215" s="468"/>
      <c r="E215" s="469" t="s">
        <v>134</v>
      </c>
      <c r="F215" s="470"/>
      <c r="G215" s="471">
        <f>G210+G211+G212+G214</f>
        <v>2142340</v>
      </c>
      <c r="H215" s="474"/>
      <c r="J215" s="729">
        <f>J210+J211+J212+J213+J214</f>
        <v>11218188.410000002</v>
      </c>
      <c r="K215" s="730">
        <f>K210+K211+K212+K213+K214</f>
        <v>7110058</v>
      </c>
      <c r="L215" s="730"/>
      <c r="M215" s="730">
        <f>M210+M211+M212+M213+M214</f>
        <v>5982507</v>
      </c>
      <c r="N215" s="473">
        <f>N210+N211+N212+N213+N214</f>
        <v>5543005</v>
      </c>
      <c r="O215" s="663"/>
      <c r="Q215" s="468"/>
    </row>
    <row r="216" spans="6:12" ht="30" customHeight="1">
      <c r="F216" s="987"/>
      <c r="K216" s="731"/>
      <c r="L216" s="731"/>
    </row>
    <row r="217" spans="10:12" ht="30" customHeight="1">
      <c r="J217" s="731"/>
      <c r="K217" s="731"/>
      <c r="L217" s="731"/>
    </row>
    <row r="218" spans="10:13" ht="30" customHeight="1">
      <c r="J218" s="731"/>
      <c r="K218" s="732"/>
      <c r="L218" s="732"/>
      <c r="M218" s="731"/>
    </row>
    <row r="219" spans="10:13" ht="30" customHeight="1">
      <c r="J219" s="731"/>
      <c r="M219" s="731"/>
    </row>
    <row r="220" spans="10:13" ht="30" customHeight="1">
      <c r="J220" s="731"/>
      <c r="M220" s="731"/>
    </row>
    <row r="221" spans="10:13" ht="30" customHeight="1">
      <c r="J221" s="731"/>
      <c r="M221" s="731"/>
    </row>
    <row r="222" ht="30" customHeight="1">
      <c r="J222" s="733"/>
    </row>
    <row r="223" ht="30" customHeight="1"/>
    <row r="224" ht="30" customHeight="1">
      <c r="J224" s="733"/>
    </row>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sheetData>
  <sheetProtection formatRows="0" insertColumns="0" insertRows="0" insertHyperlinks="0" deleteColumns="0" deleteRows="0" sort="0" autoFilter="0" pivotTables="0"/>
  <mergeCells count="36">
    <mergeCell ref="A167:E167"/>
    <mergeCell ref="A169:E169"/>
    <mergeCell ref="A171:E171"/>
    <mergeCell ref="A188:O188"/>
    <mergeCell ref="A172:E172"/>
    <mergeCell ref="A179:O179"/>
    <mergeCell ref="A186:E186"/>
    <mergeCell ref="A210:E210"/>
    <mergeCell ref="A192:E192"/>
    <mergeCell ref="A208:E208"/>
    <mergeCell ref="A187:E187"/>
    <mergeCell ref="A193:O193"/>
    <mergeCell ref="A174:O174"/>
    <mergeCell ref="A177:E177"/>
    <mergeCell ref="A191:E191"/>
    <mergeCell ref="A203:E203"/>
    <mergeCell ref="A207:E207"/>
    <mergeCell ref="A1:J1"/>
    <mergeCell ref="A2:J2"/>
    <mergeCell ref="A3:C3"/>
    <mergeCell ref="A19:O19"/>
    <mergeCell ref="A68:O68"/>
    <mergeCell ref="A4:N4"/>
    <mergeCell ref="A14:E14"/>
    <mergeCell ref="A17:E17"/>
    <mergeCell ref="A18:E18"/>
    <mergeCell ref="A67:E67"/>
    <mergeCell ref="A64:E64"/>
    <mergeCell ref="A84:E84"/>
    <mergeCell ref="A89:E89"/>
    <mergeCell ref="A93:E93"/>
    <mergeCell ref="A102:E102"/>
    <mergeCell ref="A164:E164"/>
    <mergeCell ref="A104:O104"/>
    <mergeCell ref="A103:E103"/>
    <mergeCell ref="A66:E66"/>
  </mergeCells>
  <printOptions horizontalCentered="1" verticalCentered="1"/>
  <pageMargins left="0" right="0" top="0.1968503937007874" bottom="0.1968503937007874" header="0.31496062992125984" footer="0.31496062992125984"/>
  <pageSetup horizontalDpi="600" verticalDpi="600" orientation="landscape" paperSize="8" scale="75" r:id="rId3"/>
  <rowBreaks count="6" manualBreakCount="6">
    <brk id="18" max="18" man="1"/>
    <brk id="67" max="18" man="1"/>
    <brk id="84" max="18" man="1"/>
    <brk id="103" max="18" man="1"/>
    <brk id="178" max="255" man="1"/>
    <brk id="192" max="18" man="1"/>
  </rowBreaks>
  <legacyDrawing r:id="rId2"/>
</worksheet>
</file>

<file path=xl/worksheets/sheet10.xml><?xml version="1.0" encoding="utf-8"?>
<worksheet xmlns="http://schemas.openxmlformats.org/spreadsheetml/2006/main" xmlns:r="http://schemas.openxmlformats.org/officeDocument/2006/relationships">
  <dimension ref="A1:N63"/>
  <sheetViews>
    <sheetView showGridLines="0" zoomScalePageLayoutView="0" workbookViewId="0" topLeftCell="A32">
      <selection activeCell="D13" sqref="D13"/>
    </sheetView>
  </sheetViews>
  <sheetFormatPr defaultColWidth="9.140625" defaultRowHeight="12.75"/>
  <cols>
    <col min="1" max="1" width="5.421875" style="0" customWidth="1"/>
    <col min="2" max="2" width="84.57421875" style="0" customWidth="1"/>
    <col min="3" max="3" width="22.28125" style="0" customWidth="1"/>
  </cols>
  <sheetData>
    <row r="1" spans="1:12" ht="18.75">
      <c r="A1" s="1373" t="s">
        <v>496</v>
      </c>
      <c r="B1" s="1373"/>
      <c r="C1" s="1373"/>
      <c r="D1" s="884"/>
      <c r="E1" s="884"/>
      <c r="F1" s="884"/>
      <c r="G1" s="884"/>
      <c r="H1" s="884"/>
      <c r="I1" s="884"/>
      <c r="J1" s="884"/>
      <c r="K1" s="884"/>
      <c r="L1" s="884"/>
    </row>
    <row r="2" spans="1:3" ht="18.75">
      <c r="A2" s="883"/>
      <c r="B2" s="885"/>
      <c r="C2" s="883"/>
    </row>
    <row r="3" spans="1:14" ht="39" customHeight="1">
      <c r="A3" s="1374" t="s">
        <v>551</v>
      </c>
      <c r="B3" s="1374"/>
      <c r="C3" s="1374"/>
      <c r="D3" s="886"/>
      <c r="E3" s="886"/>
      <c r="F3" s="886"/>
      <c r="G3" s="886"/>
      <c r="H3" s="886"/>
      <c r="I3" s="886"/>
      <c r="J3" s="886"/>
      <c r="K3" s="886"/>
      <c r="L3" s="886"/>
      <c r="M3" s="886"/>
      <c r="N3" s="886"/>
    </row>
    <row r="4" spans="1:3" ht="15.75" thickBot="1">
      <c r="A4" s="887"/>
      <c r="B4" s="888"/>
      <c r="C4" s="887"/>
    </row>
    <row r="5" spans="1:3" ht="16.5" thickBot="1" thickTop="1">
      <c r="A5" s="889" t="s">
        <v>985</v>
      </c>
      <c r="B5" s="890"/>
      <c r="C5" s="891"/>
    </row>
    <row r="6" spans="1:3" ht="16.5" thickTop="1">
      <c r="A6" s="892" t="s">
        <v>374</v>
      </c>
      <c r="B6" s="893" t="s">
        <v>552</v>
      </c>
      <c r="C6" s="1078">
        <v>416267.96</v>
      </c>
    </row>
    <row r="7" spans="1:3" ht="15.75">
      <c r="A7" s="892" t="s">
        <v>374</v>
      </c>
      <c r="B7" s="893" t="s">
        <v>553</v>
      </c>
      <c r="C7" s="1078">
        <v>1360547.11</v>
      </c>
    </row>
    <row r="8" spans="1:3" ht="15.75">
      <c r="A8" s="892" t="s">
        <v>374</v>
      </c>
      <c r="B8" s="894" t="s">
        <v>554</v>
      </c>
      <c r="C8" s="962">
        <v>6722849.49</v>
      </c>
    </row>
    <row r="9" spans="1:3" ht="15.75">
      <c r="A9" s="892" t="s">
        <v>376</v>
      </c>
      <c r="B9" s="894" t="s">
        <v>555</v>
      </c>
      <c r="C9" s="962">
        <v>7892399.52</v>
      </c>
    </row>
    <row r="10" spans="1:3" ht="17.25">
      <c r="A10" s="892" t="s">
        <v>376</v>
      </c>
      <c r="B10" s="894" t="s">
        <v>556</v>
      </c>
      <c r="C10" s="962">
        <v>0</v>
      </c>
    </row>
    <row r="11" spans="1:3" ht="17.25">
      <c r="A11" s="892" t="s">
        <v>374</v>
      </c>
      <c r="B11" s="894" t="s">
        <v>557</v>
      </c>
      <c r="C11" s="962">
        <v>0</v>
      </c>
    </row>
    <row r="12" spans="1:3" ht="17.25">
      <c r="A12" s="892" t="s">
        <v>374</v>
      </c>
      <c r="B12" s="894" t="s">
        <v>558</v>
      </c>
      <c r="C12" s="962">
        <v>0</v>
      </c>
    </row>
    <row r="13" spans="1:3" ht="30">
      <c r="A13" s="895" t="s">
        <v>497</v>
      </c>
      <c r="B13" s="893" t="s">
        <v>986</v>
      </c>
      <c r="C13" s="1078">
        <f>+C6+C7+C8+-C9-C10+C11+C12</f>
        <v>607265.040000001</v>
      </c>
    </row>
    <row r="14" spans="1:3" ht="15.75">
      <c r="A14" s="896"/>
      <c r="B14" s="894"/>
      <c r="C14" s="1079"/>
    </row>
    <row r="15" spans="1:3" ht="15.75">
      <c r="A15" s="892" t="s">
        <v>498</v>
      </c>
      <c r="B15" s="894" t="s">
        <v>559</v>
      </c>
      <c r="C15" s="962">
        <v>0</v>
      </c>
    </row>
    <row r="16" spans="1:3" ht="15.75">
      <c r="A16" s="892" t="s">
        <v>499</v>
      </c>
      <c r="B16" s="894" t="s">
        <v>560</v>
      </c>
      <c r="C16" s="962">
        <v>0</v>
      </c>
    </row>
    <row r="17" spans="1:3" ht="15.75">
      <c r="A17" s="892" t="s">
        <v>499</v>
      </c>
      <c r="B17" s="894" t="s">
        <v>561</v>
      </c>
      <c r="C17" s="962">
        <v>0</v>
      </c>
    </row>
    <row r="18" spans="1:3" ht="15.75">
      <c r="A18" s="892" t="s">
        <v>498</v>
      </c>
      <c r="B18" s="894" t="s">
        <v>562</v>
      </c>
      <c r="C18" s="962">
        <v>0</v>
      </c>
    </row>
    <row r="19" spans="1:3" ht="15.75">
      <c r="A19" s="892" t="s">
        <v>498</v>
      </c>
      <c r="B19" s="894" t="s">
        <v>563</v>
      </c>
      <c r="C19" s="962">
        <v>0</v>
      </c>
    </row>
    <row r="20" spans="1:3" ht="17.25">
      <c r="A20" s="892" t="s">
        <v>499</v>
      </c>
      <c r="B20" s="894" t="s">
        <v>564</v>
      </c>
      <c r="C20" s="962">
        <v>0</v>
      </c>
    </row>
    <row r="21" spans="1:3" ht="18" thickBot="1">
      <c r="A21" s="897" t="s">
        <v>497</v>
      </c>
      <c r="B21" s="898" t="s">
        <v>712</v>
      </c>
      <c r="C21" s="1080">
        <f>+C13+C15-C16-C17+C18+C19-C20</f>
        <v>607265.040000001</v>
      </c>
    </row>
    <row r="22" spans="1:3" ht="16.5" thickBot="1" thickTop="1">
      <c r="A22" s="857"/>
      <c r="B22" s="894"/>
      <c r="C22" s="899"/>
    </row>
    <row r="23" spans="1:3" ht="16.5" customHeight="1" thickBot="1" thickTop="1">
      <c r="A23" s="1375" t="s">
        <v>565</v>
      </c>
      <c r="B23" s="1376"/>
      <c r="C23" s="891"/>
    </row>
    <row r="24" spans="1:3" ht="15.75" thickTop="1">
      <c r="A24" s="900"/>
      <c r="B24" s="901"/>
      <c r="C24" s="902"/>
    </row>
    <row r="25" spans="1:3" ht="17.25">
      <c r="A25" s="903" t="s">
        <v>566</v>
      </c>
      <c r="B25" s="901"/>
      <c r="C25" s="902"/>
    </row>
    <row r="26" spans="1:3" ht="17.25">
      <c r="A26" s="900"/>
      <c r="B26" s="904" t="s">
        <v>987</v>
      </c>
      <c r="C26" s="962">
        <f>220406.95+58903</f>
        <v>279309.95</v>
      </c>
    </row>
    <row r="27" spans="1:3" ht="17.25">
      <c r="A27" s="900"/>
      <c r="B27" s="904" t="s">
        <v>567</v>
      </c>
      <c r="C27" s="962">
        <v>0</v>
      </c>
    </row>
    <row r="28" spans="1:3" ht="34.5">
      <c r="A28" s="900"/>
      <c r="B28" s="905" t="s">
        <v>713</v>
      </c>
      <c r="C28" s="962">
        <v>0</v>
      </c>
    </row>
    <row r="29" spans="1:3" ht="17.25">
      <c r="A29" s="900"/>
      <c r="B29" s="904" t="s">
        <v>568</v>
      </c>
      <c r="C29" s="962">
        <v>0</v>
      </c>
    </row>
    <row r="30" spans="1:3" ht="17.25">
      <c r="A30" s="900"/>
      <c r="B30" s="904" t="s">
        <v>569</v>
      </c>
      <c r="C30" s="962">
        <v>0</v>
      </c>
    </row>
    <row r="31" spans="1:3" ht="17.25">
      <c r="A31" s="900"/>
      <c r="B31" s="904" t="s">
        <v>570</v>
      </c>
      <c r="C31" s="962">
        <v>12854.37</v>
      </c>
    </row>
    <row r="32" spans="1:3" ht="15">
      <c r="A32" s="900"/>
      <c r="B32" s="906" t="s">
        <v>500</v>
      </c>
      <c r="C32" s="1075">
        <f>+SUM(C26:C31)</f>
        <v>292164.32</v>
      </c>
    </row>
    <row r="33" spans="1:3" ht="15">
      <c r="A33" s="857"/>
      <c r="B33" s="894"/>
      <c r="C33" s="312"/>
    </row>
    <row r="34" spans="1:3" ht="15">
      <c r="A34" s="903" t="s">
        <v>501</v>
      </c>
      <c r="B34" s="894"/>
      <c r="C34" s="312"/>
    </row>
    <row r="35" spans="1:3" ht="15">
      <c r="A35" s="857" t="s">
        <v>502</v>
      </c>
      <c r="B35" s="894"/>
      <c r="C35" s="962">
        <v>64188.58</v>
      </c>
    </row>
    <row r="36" spans="1:3" ht="15">
      <c r="A36" s="857" t="s">
        <v>503</v>
      </c>
      <c r="B36" s="894"/>
      <c r="C36" s="962">
        <v>266.1</v>
      </c>
    </row>
    <row r="37" spans="1:3" ht="15">
      <c r="A37" s="857" t="s">
        <v>504</v>
      </c>
      <c r="B37" s="894"/>
      <c r="C37" s="962">
        <v>0</v>
      </c>
    </row>
    <row r="38" spans="1:3" ht="15">
      <c r="A38" s="857" t="s">
        <v>505</v>
      </c>
      <c r="B38" s="894"/>
      <c r="C38" s="962">
        <f>11765+14000</f>
        <v>25765</v>
      </c>
    </row>
    <row r="39" spans="1:3" ht="15">
      <c r="A39" s="857" t="s">
        <v>571</v>
      </c>
      <c r="B39" s="894"/>
      <c r="C39" s="962">
        <v>0</v>
      </c>
    </row>
    <row r="40" spans="1:3" ht="15">
      <c r="A40" s="857"/>
      <c r="B40" s="906" t="s">
        <v>506</v>
      </c>
      <c r="C40" s="1075">
        <f>+SUM(C35:C39)</f>
        <v>90219.68</v>
      </c>
    </row>
    <row r="41" spans="1:3" ht="15">
      <c r="A41" s="857"/>
      <c r="B41" s="906"/>
      <c r="C41" s="907"/>
    </row>
    <row r="42" spans="1:3" ht="15">
      <c r="A42" s="908" t="s">
        <v>507</v>
      </c>
      <c r="B42" s="906"/>
      <c r="C42" s="909"/>
    </row>
    <row r="43" spans="1:3" ht="15">
      <c r="A43" s="857"/>
      <c r="B43" s="906" t="s">
        <v>508</v>
      </c>
      <c r="C43" s="1075">
        <v>2027.36</v>
      </c>
    </row>
    <row r="44" spans="1:3" ht="16.5" customHeight="1">
      <c r="A44" s="857"/>
      <c r="B44" s="906" t="s">
        <v>509</v>
      </c>
      <c r="C44" s="1075">
        <f>+C21-C32-C40-C43</f>
        <v>222853.68000000098</v>
      </c>
    </row>
    <row r="45" spans="1:3" ht="16.5" customHeight="1">
      <c r="A45" s="857"/>
      <c r="B45" s="910" t="s">
        <v>714</v>
      </c>
      <c r="C45" s="1076">
        <v>0</v>
      </c>
    </row>
    <row r="46" spans="1:3" ht="15.75" customHeight="1" thickBot="1">
      <c r="A46" s="1377" t="s">
        <v>715</v>
      </c>
      <c r="B46" s="1378"/>
      <c r="C46" s="1379"/>
    </row>
    <row r="47" spans="1:3" ht="15" thickBot="1" thickTop="1">
      <c r="A47" s="857"/>
      <c r="B47" s="911"/>
      <c r="C47" s="891"/>
    </row>
    <row r="48" spans="1:3" ht="15" thickBot="1" thickTop="1">
      <c r="A48" s="1375" t="s">
        <v>716</v>
      </c>
      <c r="B48" s="1376"/>
      <c r="C48" s="912"/>
    </row>
    <row r="49" spans="1:3" ht="15" thickTop="1">
      <c r="A49" s="1380" t="s">
        <v>510</v>
      </c>
      <c r="B49" s="1381"/>
      <c r="C49" s="913"/>
    </row>
    <row r="50" spans="1:3" ht="14.25">
      <c r="A50" s="857" t="s">
        <v>511</v>
      </c>
      <c r="B50" s="894"/>
      <c r="C50" s="962">
        <v>0</v>
      </c>
    </row>
    <row r="51" spans="1:3" ht="14.25">
      <c r="A51" s="857" t="s">
        <v>512</v>
      </c>
      <c r="B51" s="894"/>
      <c r="C51" s="962">
        <v>0</v>
      </c>
    </row>
    <row r="52" spans="1:3" ht="14.25">
      <c r="A52" s="857" t="s">
        <v>513</v>
      </c>
      <c r="B52" s="894"/>
      <c r="C52" s="962">
        <v>0</v>
      </c>
    </row>
    <row r="53" spans="1:3" ht="14.25">
      <c r="A53" s="857" t="s">
        <v>514</v>
      </c>
      <c r="B53" s="894"/>
      <c r="C53" s="962">
        <v>0</v>
      </c>
    </row>
    <row r="54" spans="1:3" ht="36.75" customHeight="1">
      <c r="A54" s="857" t="s">
        <v>572</v>
      </c>
      <c r="B54" s="894"/>
      <c r="C54" s="962">
        <v>0</v>
      </c>
    </row>
    <row r="55" spans="1:3" ht="36.75" customHeight="1" thickBot="1">
      <c r="A55" s="1369" t="s">
        <v>515</v>
      </c>
      <c r="B55" s="1370"/>
      <c r="C55" s="1077">
        <f>SUM(C50:C54)</f>
        <v>0</v>
      </c>
    </row>
    <row r="56" spans="1:3" ht="15" thickTop="1">
      <c r="A56" s="914" t="s">
        <v>516</v>
      </c>
      <c r="B56" s="915" t="s">
        <v>517</v>
      </c>
      <c r="C56" s="916"/>
    </row>
    <row r="57" spans="1:3" ht="12.75" customHeight="1">
      <c r="A57" s="917" t="s">
        <v>518</v>
      </c>
      <c r="B57" s="1371" t="s">
        <v>519</v>
      </c>
      <c r="C57" s="1371"/>
    </row>
    <row r="58" spans="1:3" ht="30" customHeight="1">
      <c r="A58" s="918" t="s">
        <v>520</v>
      </c>
      <c r="B58" s="1372" t="s">
        <v>521</v>
      </c>
      <c r="C58" s="1372"/>
    </row>
    <row r="59" spans="1:3" ht="15.75">
      <c r="A59" s="917" t="s">
        <v>522</v>
      </c>
      <c r="B59" s="919" t="s">
        <v>523</v>
      </c>
      <c r="C59" s="920"/>
    </row>
    <row r="60" spans="1:3" ht="96" customHeight="1">
      <c r="A60" s="917" t="s">
        <v>524</v>
      </c>
      <c r="B60" s="1371" t="s">
        <v>525</v>
      </c>
      <c r="C60" s="1371"/>
    </row>
    <row r="61" spans="1:3" ht="87" customHeight="1">
      <c r="A61" s="917" t="s">
        <v>526</v>
      </c>
      <c r="B61" s="1371" t="s">
        <v>527</v>
      </c>
      <c r="C61" s="1371"/>
    </row>
    <row r="62" spans="1:3" ht="15.75">
      <c r="A62" s="917" t="s">
        <v>528</v>
      </c>
      <c r="B62" s="1368" t="s">
        <v>717</v>
      </c>
      <c r="C62" s="1368"/>
    </row>
    <row r="63" spans="1:3" ht="69" customHeight="1">
      <c r="A63" s="917" t="s">
        <v>718</v>
      </c>
      <c r="B63" s="1368" t="s">
        <v>719</v>
      </c>
      <c r="C63" s="1368"/>
    </row>
  </sheetData>
  <sheetProtection/>
  <mergeCells count="13">
    <mergeCell ref="A1:C1"/>
    <mergeCell ref="A3:C3"/>
    <mergeCell ref="A23:B23"/>
    <mergeCell ref="A46:C46"/>
    <mergeCell ref="A48:B48"/>
    <mergeCell ref="A49:B49"/>
    <mergeCell ref="B63:C63"/>
    <mergeCell ref="A55:B55"/>
    <mergeCell ref="B57:C57"/>
    <mergeCell ref="B58:C58"/>
    <mergeCell ref="B60:C60"/>
    <mergeCell ref="B61:C61"/>
    <mergeCell ref="B62:C62"/>
  </mergeCell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L43"/>
  <sheetViews>
    <sheetView showGridLines="0" zoomScalePageLayoutView="0" workbookViewId="0" topLeftCell="D1">
      <selection activeCell="A4" sqref="A4"/>
    </sheetView>
  </sheetViews>
  <sheetFormatPr defaultColWidth="9.140625" defaultRowHeight="12.75"/>
  <cols>
    <col min="2" max="2" width="31.421875" style="0" customWidth="1"/>
    <col min="3" max="3" width="17.00390625" style="0" customWidth="1"/>
    <col min="4" max="4" width="17.7109375" style="0" customWidth="1"/>
    <col min="5" max="5" width="17.421875" style="0" customWidth="1"/>
    <col min="6" max="7" width="19.28125" style="0" customWidth="1"/>
    <col min="8" max="8" width="17.28125" style="0" customWidth="1"/>
  </cols>
  <sheetData>
    <row r="1" spans="1:8" s="876" customFormat="1" ht="15">
      <c r="A1" s="1382" t="s">
        <v>720</v>
      </c>
      <c r="B1" s="1382"/>
      <c r="C1" s="1382"/>
      <c r="D1" s="1382"/>
      <c r="E1" s="1382"/>
      <c r="F1" s="1382"/>
      <c r="G1" s="1382"/>
      <c r="H1" s="1382"/>
    </row>
    <row r="2" spans="1:7" ht="21">
      <c r="A2" s="1383" t="s">
        <v>721</v>
      </c>
      <c r="B2" s="1383"/>
      <c r="C2" s="1383"/>
      <c r="D2" s="1383"/>
      <c r="E2" s="1383"/>
      <c r="F2" s="1383"/>
      <c r="G2" s="1383"/>
    </row>
    <row r="4" spans="1:8" ht="124.5">
      <c r="A4" s="921" t="s">
        <v>722</v>
      </c>
      <c r="B4" s="921" t="s">
        <v>723</v>
      </c>
      <c r="C4" s="921" t="s">
        <v>724</v>
      </c>
      <c r="D4" s="922" t="s">
        <v>725</v>
      </c>
      <c r="E4" s="921" t="s">
        <v>726</v>
      </c>
      <c r="F4" s="921" t="s">
        <v>727</v>
      </c>
      <c r="G4" s="921" t="s">
        <v>728</v>
      </c>
      <c r="H4" s="921" t="s">
        <v>729</v>
      </c>
    </row>
    <row r="5" spans="1:8" ht="30.75">
      <c r="A5" s="923"/>
      <c r="B5" s="923"/>
      <c r="C5" s="924" t="s">
        <v>730</v>
      </c>
      <c r="D5" s="924" t="s">
        <v>731</v>
      </c>
      <c r="E5" s="924" t="s">
        <v>732</v>
      </c>
      <c r="F5" s="924" t="s">
        <v>733</v>
      </c>
      <c r="G5" s="925" t="s">
        <v>734</v>
      </c>
      <c r="H5" s="925" t="s">
        <v>735</v>
      </c>
    </row>
    <row r="6" spans="1:8" ht="15">
      <c r="A6" s="923" t="s">
        <v>736</v>
      </c>
      <c r="B6" s="923"/>
      <c r="C6" s="926"/>
      <c r="D6" s="926"/>
      <c r="E6" s="926"/>
      <c r="F6" s="926"/>
      <c r="G6" s="927"/>
      <c r="H6" s="927"/>
    </row>
    <row r="7" spans="1:8" ht="15">
      <c r="A7" s="923"/>
      <c r="B7" s="923"/>
      <c r="C7" s="926"/>
      <c r="D7" s="926"/>
      <c r="E7" s="926"/>
      <c r="F7" s="926"/>
      <c r="G7" s="928">
        <f>+C7+D7+E7+F7</f>
        <v>0</v>
      </c>
      <c r="H7" s="927"/>
    </row>
    <row r="8" spans="1:8" ht="15">
      <c r="A8" s="923"/>
      <c r="B8" s="923"/>
      <c r="C8" s="926"/>
      <c r="D8" s="926"/>
      <c r="E8" s="926"/>
      <c r="F8" s="926"/>
      <c r="G8" s="928">
        <f>+C8+D8+E8+F8</f>
        <v>0</v>
      </c>
      <c r="H8" s="927"/>
    </row>
    <row r="9" spans="1:8" ht="15">
      <c r="A9" s="923" t="s">
        <v>737</v>
      </c>
      <c r="B9" s="923"/>
      <c r="C9" s="928">
        <f aca="true" t="shared" si="0" ref="C9:H9">SUM(C7:C8)</f>
        <v>0</v>
      </c>
      <c r="D9" s="928">
        <f t="shared" si="0"/>
        <v>0</v>
      </c>
      <c r="E9" s="928">
        <f t="shared" si="0"/>
        <v>0</v>
      </c>
      <c r="F9" s="928">
        <f t="shared" si="0"/>
        <v>0</v>
      </c>
      <c r="G9" s="928">
        <f t="shared" si="0"/>
        <v>0</v>
      </c>
      <c r="H9" s="928">
        <f t="shared" si="0"/>
        <v>0</v>
      </c>
    </row>
    <row r="10" spans="1:8" ht="15">
      <c r="A10" s="923" t="s">
        <v>738</v>
      </c>
      <c r="B10" s="923"/>
      <c r="C10" s="926"/>
      <c r="D10" s="926"/>
      <c r="E10" s="926"/>
      <c r="F10" s="926"/>
      <c r="G10" s="927"/>
      <c r="H10" s="927"/>
    </row>
    <row r="11" spans="1:8" ht="15">
      <c r="A11" s="923"/>
      <c r="B11" s="923"/>
      <c r="C11" s="926"/>
      <c r="D11" s="926"/>
      <c r="E11" s="926"/>
      <c r="F11" s="926"/>
      <c r="G11" s="928">
        <f>+C11+D11+E11+F11</f>
        <v>0</v>
      </c>
      <c r="H11" s="927"/>
    </row>
    <row r="12" spans="1:8" ht="15">
      <c r="A12" s="923"/>
      <c r="B12" s="923"/>
      <c r="C12" s="926"/>
      <c r="D12" s="926"/>
      <c r="E12" s="926"/>
      <c r="F12" s="926"/>
      <c r="G12" s="928">
        <f>+C12+D12+E12+F12</f>
        <v>0</v>
      </c>
      <c r="H12" s="927"/>
    </row>
    <row r="13" spans="1:8" ht="15">
      <c r="A13" s="923"/>
      <c r="B13" s="923"/>
      <c r="C13" s="926"/>
      <c r="D13" s="926"/>
      <c r="E13" s="926"/>
      <c r="F13" s="926"/>
      <c r="G13" s="928">
        <f>+C13+D13+E13+F13</f>
        <v>0</v>
      </c>
      <c r="H13" s="927"/>
    </row>
    <row r="14" spans="1:8" ht="15">
      <c r="A14" s="923" t="s">
        <v>739</v>
      </c>
      <c r="B14" s="923"/>
      <c r="C14" s="928">
        <f aca="true" t="shared" si="1" ref="C14:H14">SUM(C11:C13)</f>
        <v>0</v>
      </c>
      <c r="D14" s="928">
        <f t="shared" si="1"/>
        <v>0</v>
      </c>
      <c r="E14" s="928">
        <f t="shared" si="1"/>
        <v>0</v>
      </c>
      <c r="F14" s="928">
        <f t="shared" si="1"/>
        <v>0</v>
      </c>
      <c r="G14" s="928">
        <f t="shared" si="1"/>
        <v>0</v>
      </c>
      <c r="H14" s="928">
        <f t="shared" si="1"/>
        <v>0</v>
      </c>
    </row>
    <row r="15" spans="1:8" ht="15">
      <c r="A15" s="923" t="s">
        <v>740</v>
      </c>
      <c r="B15" s="923"/>
      <c r="C15" s="926"/>
      <c r="D15" s="926"/>
      <c r="E15" s="926"/>
      <c r="F15" s="926"/>
      <c r="G15" s="927"/>
      <c r="H15" s="927"/>
    </row>
    <row r="16" spans="1:8" ht="15">
      <c r="A16" s="923"/>
      <c r="B16" s="923"/>
      <c r="C16" s="926"/>
      <c r="D16" s="926"/>
      <c r="E16" s="926"/>
      <c r="F16" s="926"/>
      <c r="G16" s="928">
        <f>+C16+D16+E16+F16</f>
        <v>0</v>
      </c>
      <c r="H16" s="927"/>
    </row>
    <row r="17" spans="1:8" ht="15">
      <c r="A17" s="923"/>
      <c r="B17" s="923"/>
      <c r="C17" s="926"/>
      <c r="D17" s="926"/>
      <c r="E17" s="926"/>
      <c r="F17" s="926"/>
      <c r="G17" s="928">
        <f>+C17+D17+E17+F17</f>
        <v>0</v>
      </c>
      <c r="H17" s="927"/>
    </row>
    <row r="18" spans="1:8" ht="15">
      <c r="A18" s="923" t="s">
        <v>741</v>
      </c>
      <c r="B18" s="923"/>
      <c r="C18" s="928">
        <f aca="true" t="shared" si="2" ref="C18:H18">SUM(C16:C17)</f>
        <v>0</v>
      </c>
      <c r="D18" s="928">
        <f t="shared" si="2"/>
        <v>0</v>
      </c>
      <c r="E18" s="928">
        <f t="shared" si="2"/>
        <v>0</v>
      </c>
      <c r="F18" s="928">
        <f t="shared" si="2"/>
        <v>0</v>
      </c>
      <c r="G18" s="928">
        <f t="shared" si="2"/>
        <v>0</v>
      </c>
      <c r="H18" s="928">
        <f t="shared" si="2"/>
        <v>0</v>
      </c>
    </row>
    <row r="19" spans="1:8" ht="15">
      <c r="A19" s="923" t="s">
        <v>182</v>
      </c>
      <c r="B19" s="929"/>
      <c r="C19" s="926"/>
      <c r="D19" s="926"/>
      <c r="E19" s="926"/>
      <c r="F19" s="926"/>
      <c r="G19" s="930"/>
      <c r="H19" s="930"/>
    </row>
    <row r="20" spans="1:8" ht="15" customHeight="1">
      <c r="A20" s="923"/>
      <c r="B20" s="929"/>
      <c r="C20" s="927"/>
      <c r="D20" s="927"/>
      <c r="E20" s="927"/>
      <c r="F20" s="927"/>
      <c r="G20" s="928">
        <f>+C20+D20+E20+F20</f>
        <v>0</v>
      </c>
      <c r="H20" s="927"/>
    </row>
    <row r="21" spans="1:8" ht="15">
      <c r="A21" s="923"/>
      <c r="B21" s="929"/>
      <c r="C21" s="927"/>
      <c r="D21" s="923"/>
      <c r="E21" s="927"/>
      <c r="F21" s="923"/>
      <c r="G21" s="928">
        <f>+C21+D21+E21+F21</f>
        <v>0</v>
      </c>
      <c r="H21" s="927"/>
    </row>
    <row r="22" spans="1:8" ht="15">
      <c r="A22" s="923"/>
      <c r="B22" s="923"/>
      <c r="C22" s="927"/>
      <c r="D22" s="923"/>
      <c r="E22" s="927"/>
      <c r="F22" s="923"/>
      <c r="G22" s="928">
        <f>+C22+D22+E22+F22</f>
        <v>0</v>
      </c>
      <c r="H22" s="927"/>
    </row>
    <row r="23" spans="1:8" ht="15">
      <c r="A23" s="923"/>
      <c r="B23" s="923"/>
      <c r="C23" s="927"/>
      <c r="D23" s="923"/>
      <c r="E23" s="927"/>
      <c r="F23" s="923"/>
      <c r="G23" s="928">
        <f>+C23+D23+E23+F23</f>
        <v>0</v>
      </c>
      <c r="H23" s="927"/>
    </row>
    <row r="24" spans="1:8" ht="15">
      <c r="A24" s="923" t="s">
        <v>742</v>
      </c>
      <c r="B24" s="923"/>
      <c r="C24" s="928">
        <f aca="true" t="shared" si="3" ref="C24:H24">SUM(C20:C23)</f>
        <v>0</v>
      </c>
      <c r="D24" s="928">
        <f t="shared" si="3"/>
        <v>0</v>
      </c>
      <c r="E24" s="928">
        <f t="shared" si="3"/>
        <v>0</v>
      </c>
      <c r="F24" s="928">
        <f t="shared" si="3"/>
        <v>0</v>
      </c>
      <c r="G24" s="928">
        <f t="shared" si="3"/>
        <v>0</v>
      </c>
      <c r="H24" s="928">
        <f t="shared" si="3"/>
        <v>0</v>
      </c>
    </row>
    <row r="25" spans="1:8" ht="15">
      <c r="A25" s="923" t="s">
        <v>743</v>
      </c>
      <c r="B25" s="923"/>
      <c r="C25" s="926"/>
      <c r="D25" s="926"/>
      <c r="E25" s="926"/>
      <c r="F25" s="926"/>
      <c r="G25" s="927"/>
      <c r="H25" s="927"/>
    </row>
    <row r="26" spans="1:8" ht="15">
      <c r="A26" s="923"/>
      <c r="B26" s="923"/>
      <c r="C26" s="926"/>
      <c r="D26" s="926"/>
      <c r="E26" s="926"/>
      <c r="F26" s="926"/>
      <c r="G26" s="928">
        <f>+C26+D26+E26+F26</f>
        <v>0</v>
      </c>
      <c r="H26" s="927"/>
    </row>
    <row r="27" spans="1:8" ht="15">
      <c r="A27" s="923"/>
      <c r="B27" s="923"/>
      <c r="C27" s="926"/>
      <c r="D27" s="926"/>
      <c r="E27" s="926"/>
      <c r="F27" s="926"/>
      <c r="G27" s="928">
        <f>+C27+D27+E27+F27</f>
        <v>0</v>
      </c>
      <c r="H27" s="927"/>
    </row>
    <row r="28" spans="1:8" ht="15">
      <c r="A28" s="923" t="s">
        <v>744</v>
      </c>
      <c r="B28" s="923"/>
      <c r="C28" s="931">
        <f aca="true" t="shared" si="4" ref="C28:H28">SUM(C26:C27)</f>
        <v>0</v>
      </c>
      <c r="D28" s="931">
        <f t="shared" si="4"/>
        <v>0</v>
      </c>
      <c r="E28" s="931">
        <f t="shared" si="4"/>
        <v>0</v>
      </c>
      <c r="F28" s="931">
        <f t="shared" si="4"/>
        <v>0</v>
      </c>
      <c r="G28" s="931">
        <f t="shared" si="4"/>
        <v>0</v>
      </c>
      <c r="H28" s="931">
        <f t="shared" si="4"/>
        <v>0</v>
      </c>
    </row>
    <row r="29" spans="1:8" ht="18">
      <c r="A29" s="923" t="s">
        <v>745</v>
      </c>
      <c r="B29" s="923"/>
      <c r="C29" s="926"/>
      <c r="D29" s="926"/>
      <c r="E29" s="926"/>
      <c r="F29" s="926"/>
      <c r="G29" s="927"/>
      <c r="H29" s="927"/>
    </row>
    <row r="30" spans="1:8" ht="15">
      <c r="A30" s="923"/>
      <c r="B30" s="923"/>
      <c r="C30" s="926"/>
      <c r="D30" s="926"/>
      <c r="E30" s="926"/>
      <c r="F30" s="926"/>
      <c r="G30" s="928">
        <f>+C30+D30+E30+F30</f>
        <v>0</v>
      </c>
      <c r="H30" s="927"/>
    </row>
    <row r="31" spans="1:8" ht="15">
      <c r="A31" s="923"/>
      <c r="B31" s="923"/>
      <c r="C31" s="926"/>
      <c r="D31" s="926"/>
      <c r="E31" s="926"/>
      <c r="F31" s="926"/>
      <c r="G31" s="928">
        <f>+C31+D31+E31+F31</f>
        <v>0</v>
      </c>
      <c r="H31" s="927"/>
    </row>
    <row r="32" spans="1:8" ht="15">
      <c r="A32" s="923" t="s">
        <v>746</v>
      </c>
      <c r="B32" s="923"/>
      <c r="C32" s="928">
        <f aca="true" t="shared" si="5" ref="C32:H32">SUM(C30:C31)</f>
        <v>0</v>
      </c>
      <c r="D32" s="928">
        <f t="shared" si="5"/>
        <v>0</v>
      </c>
      <c r="E32" s="928">
        <f t="shared" si="5"/>
        <v>0</v>
      </c>
      <c r="F32" s="928">
        <f t="shared" si="5"/>
        <v>0</v>
      </c>
      <c r="G32" s="928">
        <f t="shared" si="5"/>
        <v>0</v>
      </c>
      <c r="H32" s="928">
        <f t="shared" si="5"/>
        <v>0</v>
      </c>
    </row>
    <row r="33" spans="1:8" ht="15">
      <c r="A33" s="932" t="s">
        <v>747</v>
      </c>
      <c r="B33" s="932"/>
      <c r="C33" s="928">
        <f aca="true" t="shared" si="6" ref="C33:H33">SUM(C32,C28,C24,C18,C14,C9)</f>
        <v>0</v>
      </c>
      <c r="D33" s="928">
        <f t="shared" si="6"/>
        <v>0</v>
      </c>
      <c r="E33" s="928">
        <f t="shared" si="6"/>
        <v>0</v>
      </c>
      <c r="F33" s="928">
        <f t="shared" si="6"/>
        <v>0</v>
      </c>
      <c r="G33" s="928">
        <f t="shared" si="6"/>
        <v>0</v>
      </c>
      <c r="H33" s="928">
        <f t="shared" si="6"/>
        <v>0</v>
      </c>
    </row>
    <row r="34" spans="1:7" ht="34.5" customHeight="1">
      <c r="A34" s="1384" t="s">
        <v>748</v>
      </c>
      <c r="B34" s="1384"/>
      <c r="C34" s="1384"/>
      <c r="D34" s="1384"/>
      <c r="E34" s="1384"/>
      <c r="F34" s="1384"/>
      <c r="G34" s="1384"/>
    </row>
    <row r="35" spans="1:7" ht="40.5" customHeight="1">
      <c r="A35" s="1384" t="s">
        <v>749</v>
      </c>
      <c r="B35" s="1384"/>
      <c r="C35" s="1384"/>
      <c r="D35" s="1384"/>
      <c r="E35" s="1384"/>
      <c r="F35" s="1384"/>
      <c r="G35" s="1384"/>
    </row>
    <row r="36" spans="1:7" ht="36.75" customHeight="1">
      <c r="A36" s="1384" t="s">
        <v>750</v>
      </c>
      <c r="B36" s="1384"/>
      <c r="C36" s="1384"/>
      <c r="D36" s="1384"/>
      <c r="E36" s="1384"/>
      <c r="F36" s="1384"/>
      <c r="G36" s="1384"/>
    </row>
    <row r="37" spans="1:7" ht="15">
      <c r="A37" s="1384" t="s">
        <v>751</v>
      </c>
      <c r="B37" s="1384"/>
      <c r="C37" s="1384"/>
      <c r="D37" s="1384"/>
      <c r="E37" s="1384"/>
      <c r="F37" s="1384"/>
      <c r="G37" s="1384"/>
    </row>
    <row r="43" ht="12.75">
      <c r="L43">
        <f>+L11-L37</f>
        <v>0</v>
      </c>
    </row>
  </sheetData>
  <sheetProtection/>
  <mergeCells count="6">
    <mergeCell ref="A1:H1"/>
    <mergeCell ref="A2:G2"/>
    <mergeCell ref="A34:G34"/>
    <mergeCell ref="A35:G35"/>
    <mergeCell ref="A36:G36"/>
    <mergeCell ref="A37:G3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Q50"/>
  <sheetViews>
    <sheetView showGridLines="0" zoomScale="90" zoomScaleNormal="90" zoomScalePageLayoutView="0" workbookViewId="0" topLeftCell="A1">
      <selection activeCell="F4" sqref="F4"/>
    </sheetView>
  </sheetViews>
  <sheetFormatPr defaultColWidth="9.140625" defaultRowHeight="12.75"/>
  <cols>
    <col min="2" max="2" width="0.2890625" style="0" customWidth="1"/>
    <col min="3" max="3" width="21.00390625" style="0" customWidth="1"/>
    <col min="5" max="5" width="16.7109375" style="0" customWidth="1"/>
    <col min="6" max="6" width="13.421875" style="0" customWidth="1"/>
    <col min="7" max="7" width="14.00390625" style="0" customWidth="1"/>
    <col min="8" max="8" width="16.57421875" style="0" customWidth="1"/>
    <col min="9" max="9" width="15.00390625" style="0" customWidth="1"/>
    <col min="10" max="10" width="17.28125" style="0" customWidth="1"/>
    <col min="11" max="11" width="18.140625" style="0" customWidth="1"/>
    <col min="12" max="12" width="16.00390625" style="0" customWidth="1"/>
    <col min="13" max="13" width="19.8515625" style="0" customWidth="1"/>
  </cols>
  <sheetData>
    <row r="1" spans="1:14" s="876" customFormat="1" ht="18">
      <c r="A1" s="1391" t="s">
        <v>752</v>
      </c>
      <c r="B1" s="1391"/>
      <c r="C1" s="1391"/>
      <c r="D1" s="1391"/>
      <c r="E1" s="1391"/>
      <c r="F1" s="1391"/>
      <c r="G1" s="1391"/>
      <c r="H1" s="1391"/>
      <c r="I1" s="1391"/>
      <c r="J1" s="1391"/>
      <c r="K1" s="1391"/>
      <c r="L1" s="1391"/>
      <c r="M1" s="1391"/>
      <c r="N1" s="933"/>
    </row>
    <row r="2" spans="1:13" ht="35.25" customHeight="1">
      <c r="A2" s="1392" t="s">
        <v>753</v>
      </c>
      <c r="B2" s="1392"/>
      <c r="C2" s="1392"/>
      <c r="D2" s="1392"/>
      <c r="E2" s="1392"/>
      <c r="F2" s="1392"/>
      <c r="G2" s="1392"/>
      <c r="H2" s="1392"/>
      <c r="I2" s="1392"/>
      <c r="J2" s="1392"/>
      <c r="K2" s="1392"/>
      <c r="L2" s="1392"/>
      <c r="M2" s="934"/>
    </row>
    <row r="4" spans="1:13" ht="251.25" customHeight="1">
      <c r="A4" s="1393" t="s">
        <v>754</v>
      </c>
      <c r="B4" s="1393"/>
      <c r="C4" s="922" t="s">
        <v>755</v>
      </c>
      <c r="D4" s="922" t="s">
        <v>722</v>
      </c>
      <c r="E4" s="922" t="s">
        <v>755</v>
      </c>
      <c r="F4" s="922" t="s">
        <v>756</v>
      </c>
      <c r="G4" s="922" t="s">
        <v>757</v>
      </c>
      <c r="H4" s="922" t="s">
        <v>758</v>
      </c>
      <c r="I4" s="922" t="s">
        <v>759</v>
      </c>
      <c r="J4" s="922" t="s">
        <v>760</v>
      </c>
      <c r="K4" s="922" t="s">
        <v>761</v>
      </c>
      <c r="L4" s="922" t="s">
        <v>762</v>
      </c>
      <c r="M4" s="922" t="s">
        <v>763</v>
      </c>
    </row>
    <row r="5" spans="1:13" ht="29.25" customHeight="1">
      <c r="A5" s="923"/>
      <c r="B5" s="1388"/>
      <c r="C5" s="1388"/>
      <c r="D5" s="923"/>
      <c r="E5" s="923"/>
      <c r="F5" s="924" t="s">
        <v>730</v>
      </c>
      <c r="G5" s="924" t="s">
        <v>731</v>
      </c>
      <c r="H5" s="924" t="s">
        <v>732</v>
      </c>
      <c r="I5" s="924" t="s">
        <v>733</v>
      </c>
      <c r="J5" s="924" t="s">
        <v>764</v>
      </c>
      <c r="K5" s="924" t="s">
        <v>735</v>
      </c>
      <c r="L5" s="925" t="s">
        <v>765</v>
      </c>
      <c r="M5" s="925" t="s">
        <v>766</v>
      </c>
    </row>
    <row r="6" spans="1:13" ht="15">
      <c r="A6" s="1390" t="s">
        <v>767</v>
      </c>
      <c r="B6" s="1390"/>
      <c r="C6" s="1390"/>
      <c r="D6" s="923"/>
      <c r="E6" s="923"/>
      <c r="F6" s="923"/>
      <c r="G6" s="923"/>
      <c r="H6" s="923"/>
      <c r="I6" s="923"/>
      <c r="J6" s="923"/>
      <c r="K6" s="923"/>
      <c r="L6" s="923"/>
      <c r="M6" s="923"/>
    </row>
    <row r="7" spans="1:13" ht="15">
      <c r="A7" s="923"/>
      <c r="B7" s="1386"/>
      <c r="C7" s="1386"/>
      <c r="D7" s="923"/>
      <c r="E7" s="935"/>
      <c r="F7" s="923"/>
      <c r="G7" s="923"/>
      <c r="H7" s="923"/>
      <c r="I7" s="923"/>
      <c r="J7" s="923"/>
      <c r="K7" s="923"/>
      <c r="L7" s="927">
        <f>+F7+G7-H7-I7-J7+K7</f>
        <v>0</v>
      </c>
      <c r="M7" s="927"/>
    </row>
    <row r="8" spans="1:13" ht="15">
      <c r="A8" s="923"/>
      <c r="B8" s="1388"/>
      <c r="C8" s="1388"/>
      <c r="D8" s="923"/>
      <c r="E8" s="923"/>
      <c r="F8" s="923"/>
      <c r="G8" s="923"/>
      <c r="H8" s="923"/>
      <c r="I8" s="923"/>
      <c r="J8" s="923"/>
      <c r="K8" s="923"/>
      <c r="L8" s="927">
        <f>+F8+G8-H8-I8-J8+K8</f>
        <v>0</v>
      </c>
      <c r="M8" s="927"/>
    </row>
    <row r="9" spans="1:13" ht="15">
      <c r="A9" s="923"/>
      <c r="B9" s="1388"/>
      <c r="C9" s="1388"/>
      <c r="D9" s="923"/>
      <c r="E9" s="923"/>
      <c r="F9" s="923"/>
      <c r="G9" s="923"/>
      <c r="H9" s="923"/>
      <c r="I9" s="923"/>
      <c r="J9" s="923"/>
      <c r="K9" s="923"/>
      <c r="L9" s="927">
        <f>+F9+G9-H9-I9-J9+K9</f>
        <v>0</v>
      </c>
      <c r="M9" s="927"/>
    </row>
    <row r="10" spans="1:13" ht="15">
      <c r="A10" s="923"/>
      <c r="B10" s="1388"/>
      <c r="C10" s="1388"/>
      <c r="D10" s="923"/>
      <c r="E10" s="923"/>
      <c r="F10" s="923"/>
      <c r="G10" s="923"/>
      <c r="H10" s="923"/>
      <c r="I10" s="923"/>
      <c r="J10" s="923"/>
      <c r="K10" s="923"/>
      <c r="L10" s="927">
        <f>+F10+G10-H10-I10-J10+K10</f>
        <v>0</v>
      </c>
      <c r="M10" s="927"/>
    </row>
    <row r="11" spans="1:13" ht="15">
      <c r="A11" s="1388" t="s">
        <v>768</v>
      </c>
      <c r="B11" s="1388"/>
      <c r="C11" s="1388"/>
      <c r="D11" s="1388"/>
      <c r="E11" s="923"/>
      <c r="F11" s="936">
        <f>SUM(F7:F10)</f>
        <v>0</v>
      </c>
      <c r="G11" s="936">
        <f aca="true" t="shared" si="0" ref="G11:M11">SUM(G7:G10)</f>
        <v>0</v>
      </c>
      <c r="H11" s="936">
        <f t="shared" si="0"/>
        <v>0</v>
      </c>
      <c r="I11" s="936">
        <f t="shared" si="0"/>
        <v>0</v>
      </c>
      <c r="J11" s="936">
        <f t="shared" si="0"/>
        <v>0</v>
      </c>
      <c r="K11" s="936">
        <f t="shared" si="0"/>
        <v>0</v>
      </c>
      <c r="L11" s="936">
        <f t="shared" si="0"/>
        <v>0</v>
      </c>
      <c r="M11" s="936">
        <f t="shared" si="0"/>
        <v>0</v>
      </c>
    </row>
    <row r="12" spans="1:13" ht="15">
      <c r="A12" s="1390" t="s">
        <v>769</v>
      </c>
      <c r="B12" s="1390"/>
      <c r="C12" s="1390"/>
      <c r="D12" s="1390"/>
      <c r="E12" s="923"/>
      <c r="F12" s="923"/>
      <c r="G12" s="923"/>
      <c r="H12" s="923"/>
      <c r="I12" s="923"/>
      <c r="J12" s="923"/>
      <c r="K12" s="923"/>
      <c r="L12" s="923"/>
      <c r="M12" s="923"/>
    </row>
    <row r="13" spans="1:13" ht="15">
      <c r="A13" s="923"/>
      <c r="B13" s="1386"/>
      <c r="C13" s="1386"/>
      <c r="D13" s="923"/>
      <c r="E13" s="935"/>
      <c r="F13" s="923"/>
      <c r="G13" s="923"/>
      <c r="H13" s="923"/>
      <c r="I13" s="923"/>
      <c r="J13" s="923"/>
      <c r="K13" s="923"/>
      <c r="L13" s="927">
        <f>+F13+G13-H13-I13-J13+K13</f>
        <v>0</v>
      </c>
      <c r="M13" s="927"/>
    </row>
    <row r="14" spans="1:13" ht="15">
      <c r="A14" s="923"/>
      <c r="B14" s="1386"/>
      <c r="C14" s="1386"/>
      <c r="D14" s="923"/>
      <c r="E14" s="935"/>
      <c r="F14" s="923"/>
      <c r="G14" s="923"/>
      <c r="H14" s="923"/>
      <c r="I14" s="923"/>
      <c r="J14" s="923"/>
      <c r="K14" s="923"/>
      <c r="L14" s="927">
        <f>+F14+G14-H14-I14-J14+K14</f>
        <v>0</v>
      </c>
      <c r="M14" s="927"/>
    </row>
    <row r="15" spans="1:13" ht="15">
      <c r="A15" s="923"/>
      <c r="B15" s="1386"/>
      <c r="C15" s="1386"/>
      <c r="D15" s="923"/>
      <c r="E15" s="923"/>
      <c r="F15" s="923"/>
      <c r="G15" s="923"/>
      <c r="H15" s="923"/>
      <c r="I15" s="923"/>
      <c r="J15" s="923"/>
      <c r="K15" s="923"/>
      <c r="L15" s="927">
        <f>+F15+G15-H15-I15-J15+K15</f>
        <v>0</v>
      </c>
      <c r="M15" s="927"/>
    </row>
    <row r="16" spans="1:13" ht="15">
      <c r="A16" s="923"/>
      <c r="B16" s="1388"/>
      <c r="C16" s="1388"/>
      <c r="D16" s="923"/>
      <c r="E16" s="923"/>
      <c r="F16" s="923"/>
      <c r="G16" s="923"/>
      <c r="H16" s="923"/>
      <c r="I16" s="923"/>
      <c r="J16" s="923"/>
      <c r="K16" s="923"/>
      <c r="L16" s="927">
        <f>+F16+G16-H16-I16-J16+K16</f>
        <v>0</v>
      </c>
      <c r="M16" s="927"/>
    </row>
    <row r="17" spans="1:13" ht="15">
      <c r="A17" s="1388" t="s">
        <v>770</v>
      </c>
      <c r="B17" s="1388"/>
      <c r="C17" s="1388"/>
      <c r="D17" s="1388"/>
      <c r="E17" s="1388"/>
      <c r="F17" s="936">
        <f>SUM(F13:F16)</f>
        <v>0</v>
      </c>
      <c r="G17" s="936">
        <f aca="true" t="shared" si="1" ref="G17:M17">SUM(G13:G16)</f>
        <v>0</v>
      </c>
      <c r="H17" s="936">
        <f t="shared" si="1"/>
        <v>0</v>
      </c>
      <c r="I17" s="936">
        <f t="shared" si="1"/>
        <v>0</v>
      </c>
      <c r="J17" s="936">
        <f t="shared" si="1"/>
        <v>0</v>
      </c>
      <c r="K17" s="936">
        <f t="shared" si="1"/>
        <v>0</v>
      </c>
      <c r="L17" s="936">
        <f t="shared" si="1"/>
        <v>0</v>
      </c>
      <c r="M17" s="936">
        <f t="shared" si="1"/>
        <v>0</v>
      </c>
    </row>
    <row r="18" spans="1:13" ht="15">
      <c r="A18" s="1390" t="s">
        <v>771</v>
      </c>
      <c r="B18" s="1390"/>
      <c r="C18" s="1390"/>
      <c r="D18" s="1390"/>
      <c r="E18" s="923"/>
      <c r="F18" s="923"/>
      <c r="G18" s="923"/>
      <c r="H18" s="923"/>
      <c r="I18" s="923"/>
      <c r="J18" s="923"/>
      <c r="K18" s="923"/>
      <c r="L18" s="923"/>
      <c r="M18" s="923"/>
    </row>
    <row r="19" spans="1:13" ht="15">
      <c r="A19" s="923"/>
      <c r="B19" s="1388"/>
      <c r="C19" s="1388"/>
      <c r="D19" s="923"/>
      <c r="E19" s="923"/>
      <c r="F19" s="923"/>
      <c r="G19" s="923"/>
      <c r="H19" s="923"/>
      <c r="I19" s="923"/>
      <c r="J19" s="923"/>
      <c r="K19" s="923"/>
      <c r="L19" s="927">
        <f>+F19+G19-H19-I19-J19+K19</f>
        <v>0</v>
      </c>
      <c r="M19" s="927"/>
    </row>
    <row r="20" spans="1:13" ht="15">
      <c r="A20" s="923"/>
      <c r="B20" s="1388"/>
      <c r="C20" s="1388"/>
      <c r="D20" s="923"/>
      <c r="E20" s="923"/>
      <c r="F20" s="923"/>
      <c r="G20" s="923"/>
      <c r="H20" s="923"/>
      <c r="I20" s="923"/>
      <c r="J20" s="923"/>
      <c r="K20" s="923"/>
      <c r="L20" s="927">
        <f>+F20+G20-H20-I20-J20+K20</f>
        <v>0</v>
      </c>
      <c r="M20" s="927"/>
    </row>
    <row r="21" spans="1:13" ht="15">
      <c r="A21" s="923"/>
      <c r="B21" s="1388"/>
      <c r="C21" s="1388"/>
      <c r="D21" s="923"/>
      <c r="E21" s="923"/>
      <c r="F21" s="923"/>
      <c r="G21" s="923"/>
      <c r="H21" s="923"/>
      <c r="I21" s="923"/>
      <c r="J21" s="923"/>
      <c r="K21" s="923"/>
      <c r="L21" s="927">
        <f>+F21+G21-H21-I21-J21+K21</f>
        <v>0</v>
      </c>
      <c r="M21" s="927"/>
    </row>
    <row r="22" spans="1:13" ht="15">
      <c r="A22" s="923"/>
      <c r="B22" s="1388"/>
      <c r="C22" s="1388"/>
      <c r="D22" s="923"/>
      <c r="E22" s="923"/>
      <c r="F22" s="923"/>
      <c r="G22" s="923"/>
      <c r="H22" s="923"/>
      <c r="I22" s="923"/>
      <c r="J22" s="923"/>
      <c r="K22" s="923"/>
      <c r="L22" s="927">
        <f>+F22+G22-H22-I22-J22+K22</f>
        <v>0</v>
      </c>
      <c r="M22" s="927"/>
    </row>
    <row r="23" spans="1:13" ht="15">
      <c r="A23" s="1388" t="s">
        <v>772</v>
      </c>
      <c r="B23" s="1388"/>
      <c r="C23" s="1388"/>
      <c r="D23" s="1388"/>
      <c r="E23" s="1388"/>
      <c r="F23" s="936">
        <f>SUM(F19:F22)</f>
        <v>0</v>
      </c>
      <c r="G23" s="936">
        <f aca="true" t="shared" si="2" ref="G23:M23">SUM(G19:G22)</f>
        <v>0</v>
      </c>
      <c r="H23" s="936">
        <f t="shared" si="2"/>
        <v>0</v>
      </c>
      <c r="I23" s="936">
        <f t="shared" si="2"/>
        <v>0</v>
      </c>
      <c r="J23" s="936">
        <f t="shared" si="2"/>
        <v>0</v>
      </c>
      <c r="K23" s="936">
        <f t="shared" si="2"/>
        <v>0</v>
      </c>
      <c r="L23" s="936">
        <f t="shared" si="2"/>
        <v>0</v>
      </c>
      <c r="M23" s="936">
        <f t="shared" si="2"/>
        <v>0</v>
      </c>
    </row>
    <row r="24" spans="1:13" ht="15">
      <c r="A24" s="1390" t="s">
        <v>773</v>
      </c>
      <c r="B24" s="1390"/>
      <c r="C24" s="1390"/>
      <c r="D24" s="1390"/>
      <c r="E24" s="923"/>
      <c r="F24" s="923"/>
      <c r="G24" s="923"/>
      <c r="H24" s="923"/>
      <c r="I24" s="923"/>
      <c r="J24" s="923"/>
      <c r="K24" s="923"/>
      <c r="L24" s="923"/>
      <c r="M24" s="923"/>
    </row>
    <row r="25" spans="1:13" ht="15">
      <c r="A25" s="923"/>
      <c r="B25" s="1388"/>
      <c r="C25" s="1388"/>
      <c r="D25" s="923"/>
      <c r="E25" s="923"/>
      <c r="F25" s="923"/>
      <c r="G25" s="923"/>
      <c r="H25" s="923"/>
      <c r="I25" s="923"/>
      <c r="J25" s="923"/>
      <c r="K25" s="923"/>
      <c r="L25" s="927">
        <f>+F25+G25-H25-I25-J25+K25</f>
        <v>0</v>
      </c>
      <c r="M25" s="927"/>
    </row>
    <row r="26" spans="1:13" ht="15">
      <c r="A26" s="923"/>
      <c r="B26" s="1388"/>
      <c r="C26" s="1388"/>
      <c r="D26" s="923"/>
      <c r="E26" s="923"/>
      <c r="F26" s="923"/>
      <c r="G26" s="923"/>
      <c r="H26" s="923"/>
      <c r="I26" s="923"/>
      <c r="J26" s="923"/>
      <c r="K26" s="923"/>
      <c r="L26" s="927">
        <f>+F26+G26-H26-I26-J26+K26</f>
        <v>0</v>
      </c>
      <c r="M26" s="927"/>
    </row>
    <row r="27" spans="1:13" ht="15">
      <c r="A27" s="923"/>
      <c r="B27" s="1388"/>
      <c r="C27" s="1388"/>
      <c r="D27" s="923"/>
      <c r="E27" s="923"/>
      <c r="F27" s="923"/>
      <c r="G27" s="923"/>
      <c r="H27" s="923"/>
      <c r="I27" s="923"/>
      <c r="J27" s="923"/>
      <c r="K27" s="923"/>
      <c r="L27" s="927">
        <f>+F27+G27-H27-I27-J27+K27</f>
        <v>0</v>
      </c>
      <c r="M27" s="927"/>
    </row>
    <row r="28" spans="1:13" ht="15">
      <c r="A28" s="923"/>
      <c r="B28" s="1388"/>
      <c r="C28" s="1388"/>
      <c r="D28" s="923"/>
      <c r="E28" s="923"/>
      <c r="F28" s="923"/>
      <c r="G28" s="923"/>
      <c r="H28" s="923"/>
      <c r="I28" s="923"/>
      <c r="J28" s="923"/>
      <c r="K28" s="923"/>
      <c r="L28" s="927">
        <f>+F28+G28-H28-I28-J28+K28</f>
        <v>0</v>
      </c>
      <c r="M28" s="927"/>
    </row>
    <row r="29" spans="1:13" ht="15">
      <c r="A29" s="1388" t="s">
        <v>774</v>
      </c>
      <c r="B29" s="1388"/>
      <c r="C29" s="1388"/>
      <c r="D29" s="1388"/>
      <c r="E29" s="1388"/>
      <c r="F29" s="923">
        <f>SUM(F25:F28)</f>
        <v>0</v>
      </c>
      <c r="G29" s="923">
        <f aca="true" t="shared" si="3" ref="G29:M29">SUM(G25:G28)</f>
        <v>0</v>
      </c>
      <c r="H29" s="923">
        <f t="shared" si="3"/>
        <v>0</v>
      </c>
      <c r="I29" s="923">
        <f t="shared" si="3"/>
        <v>0</v>
      </c>
      <c r="J29" s="923">
        <f t="shared" si="3"/>
        <v>0</v>
      </c>
      <c r="K29" s="923">
        <f t="shared" si="3"/>
        <v>0</v>
      </c>
      <c r="L29" s="923">
        <f t="shared" si="3"/>
        <v>0</v>
      </c>
      <c r="M29" s="923">
        <f t="shared" si="3"/>
        <v>0</v>
      </c>
    </row>
    <row r="30" spans="1:13" ht="15">
      <c r="A30" s="1390" t="s">
        <v>775</v>
      </c>
      <c r="B30" s="1390"/>
      <c r="C30" s="1390"/>
      <c r="D30" s="923"/>
      <c r="E30" s="923"/>
      <c r="F30" s="923"/>
      <c r="G30" s="923"/>
      <c r="H30" s="923"/>
      <c r="I30" s="923"/>
      <c r="J30" s="923"/>
      <c r="K30" s="923"/>
      <c r="L30" s="923"/>
      <c r="M30" s="923"/>
    </row>
    <row r="31" spans="1:13" ht="15">
      <c r="A31" s="923"/>
      <c r="B31" s="1388"/>
      <c r="C31" s="1388"/>
      <c r="D31" s="923"/>
      <c r="E31" s="923"/>
      <c r="F31" s="923"/>
      <c r="G31" s="923"/>
      <c r="H31" s="923"/>
      <c r="I31" s="923"/>
      <c r="J31" s="923"/>
      <c r="K31" s="923"/>
      <c r="L31" s="927">
        <f>+F31+G31-H31-I31-J31+K31</f>
        <v>0</v>
      </c>
      <c r="M31" s="927"/>
    </row>
    <row r="32" spans="1:13" ht="15">
      <c r="A32" s="923"/>
      <c r="B32" s="1388"/>
      <c r="C32" s="1388"/>
      <c r="D32" s="923"/>
      <c r="E32" s="923"/>
      <c r="F32" s="923"/>
      <c r="G32" s="923"/>
      <c r="H32" s="923"/>
      <c r="I32" s="923"/>
      <c r="J32" s="923"/>
      <c r="K32" s="923"/>
      <c r="L32" s="927">
        <f>+F32+G32-H32-I32-J32+K32</f>
        <v>0</v>
      </c>
      <c r="M32" s="927"/>
    </row>
    <row r="33" spans="1:13" ht="15">
      <c r="A33" s="923"/>
      <c r="B33" s="1388"/>
      <c r="C33" s="1388"/>
      <c r="D33" s="923"/>
      <c r="E33" s="923"/>
      <c r="F33" s="923"/>
      <c r="G33" s="923"/>
      <c r="H33" s="923"/>
      <c r="I33" s="923"/>
      <c r="J33" s="923"/>
      <c r="K33" s="923"/>
      <c r="L33" s="927">
        <f>+F33+G33-H33-I33-J33+K33</f>
        <v>0</v>
      </c>
      <c r="M33" s="927"/>
    </row>
    <row r="34" spans="1:13" ht="15">
      <c r="A34" s="923"/>
      <c r="B34" s="1388"/>
      <c r="C34" s="1388"/>
      <c r="D34" s="923"/>
      <c r="E34" s="923"/>
      <c r="F34" s="923"/>
      <c r="G34" s="923"/>
      <c r="H34" s="923"/>
      <c r="I34" s="923"/>
      <c r="J34" s="923"/>
      <c r="K34" s="923"/>
      <c r="L34" s="927">
        <f>+F34+G34-H34-I34-J34+K34</f>
        <v>0</v>
      </c>
      <c r="M34" s="927"/>
    </row>
    <row r="35" spans="1:13" ht="15">
      <c r="A35" s="1388" t="s">
        <v>776</v>
      </c>
      <c r="B35" s="1388"/>
      <c r="C35" s="1388"/>
      <c r="D35" s="923"/>
      <c r="E35" s="923"/>
      <c r="F35" s="923">
        <f>SUM(F31:F34)</f>
        <v>0</v>
      </c>
      <c r="G35" s="923">
        <f aca="true" t="shared" si="4" ref="G35:M35">SUM(G31:G34)</f>
        <v>0</v>
      </c>
      <c r="H35" s="923">
        <f t="shared" si="4"/>
        <v>0</v>
      </c>
      <c r="I35" s="923">
        <f t="shared" si="4"/>
        <v>0</v>
      </c>
      <c r="J35" s="923">
        <f t="shared" si="4"/>
        <v>0</v>
      </c>
      <c r="K35" s="923">
        <f t="shared" si="4"/>
        <v>0</v>
      </c>
      <c r="L35" s="923">
        <f t="shared" si="4"/>
        <v>0</v>
      </c>
      <c r="M35" s="923">
        <f t="shared" si="4"/>
        <v>0</v>
      </c>
    </row>
    <row r="36" spans="1:13" ht="18">
      <c r="A36" s="1389" t="s">
        <v>777</v>
      </c>
      <c r="B36" s="1389"/>
      <c r="C36" s="1389"/>
      <c r="D36" s="1389"/>
      <c r="E36" s="1389"/>
      <c r="F36" s="936">
        <f>+F35+F29+F23+F17+F11</f>
        <v>0</v>
      </c>
      <c r="G36" s="936">
        <f aca="true" t="shared" si="5" ref="G36:M36">+G35+G29+G23+G17+G11</f>
        <v>0</v>
      </c>
      <c r="H36" s="936">
        <f t="shared" si="5"/>
        <v>0</v>
      </c>
      <c r="I36" s="936">
        <f t="shared" si="5"/>
        <v>0</v>
      </c>
      <c r="J36" s="936">
        <f t="shared" si="5"/>
        <v>0</v>
      </c>
      <c r="K36" s="936">
        <f t="shared" si="5"/>
        <v>0</v>
      </c>
      <c r="L36" s="936">
        <f t="shared" si="5"/>
        <v>0</v>
      </c>
      <c r="M36" s="936">
        <f t="shared" si="5"/>
        <v>0</v>
      </c>
    </row>
    <row r="37" spans="1:12" ht="25.5" customHeight="1">
      <c r="A37" s="937"/>
      <c r="B37" s="856"/>
      <c r="C37" s="856"/>
      <c r="D37" s="938"/>
      <c r="E37" s="1386" t="s">
        <v>778</v>
      </c>
      <c r="F37" s="1386"/>
      <c r="G37" s="1386"/>
      <c r="H37" s="1386"/>
      <c r="I37" s="1386"/>
      <c r="J37" s="1386"/>
      <c r="K37" s="1386"/>
      <c r="L37" s="927"/>
    </row>
    <row r="38" spans="1:12" ht="25.5" customHeight="1">
      <c r="A38" s="879"/>
      <c r="D38" s="939"/>
      <c r="E38" s="1386" t="s">
        <v>779</v>
      </c>
      <c r="F38" s="1386"/>
      <c r="G38" s="1386"/>
      <c r="H38" s="1386"/>
      <c r="I38" s="1386"/>
      <c r="J38" s="1386"/>
      <c r="K38" s="1386"/>
      <c r="L38" s="927"/>
    </row>
    <row r="39" spans="1:12" ht="25.5" customHeight="1">
      <c r="A39" s="879"/>
      <c r="D39" s="939"/>
      <c r="E39" s="1386" t="s">
        <v>780</v>
      </c>
      <c r="F39" s="1386"/>
      <c r="G39" s="1386"/>
      <c r="H39" s="1386"/>
      <c r="I39" s="1386"/>
      <c r="J39" s="1386"/>
      <c r="K39" s="1386"/>
      <c r="L39" s="927"/>
    </row>
    <row r="40" spans="1:12" ht="25.5" customHeight="1">
      <c r="A40" s="879"/>
      <c r="D40" s="939"/>
      <c r="E40" s="1386" t="s">
        <v>781</v>
      </c>
      <c r="F40" s="1386"/>
      <c r="G40" s="1386"/>
      <c r="H40" s="1386"/>
      <c r="I40" s="1386"/>
      <c r="J40" s="1386"/>
      <c r="K40" s="1386"/>
      <c r="L40" s="927"/>
    </row>
    <row r="41" spans="1:12" ht="25.5" customHeight="1">
      <c r="A41" s="879"/>
      <c r="D41" s="939"/>
      <c r="E41" s="1386" t="s">
        <v>782</v>
      </c>
      <c r="F41" s="1386"/>
      <c r="G41" s="1386"/>
      <c r="H41" s="1386"/>
      <c r="I41" s="1386"/>
      <c r="J41" s="1386"/>
      <c r="K41" s="1386"/>
      <c r="L41" s="927"/>
    </row>
    <row r="42" spans="1:12" ht="25.5" customHeight="1">
      <c r="A42" s="879"/>
      <c r="D42" s="939"/>
      <c r="E42" s="1387" t="s">
        <v>783</v>
      </c>
      <c r="F42" s="1387"/>
      <c r="G42" s="1387"/>
      <c r="H42" s="1387"/>
      <c r="I42" s="1387"/>
      <c r="J42" s="1387"/>
      <c r="K42" s="1387"/>
      <c r="L42" s="940">
        <f>SUM(L37:L41)</f>
        <v>0</v>
      </c>
    </row>
    <row r="43" spans="1:12" ht="25.5" customHeight="1">
      <c r="A43" s="879"/>
      <c r="D43" s="939"/>
      <c r="E43" s="1386" t="s">
        <v>784</v>
      </c>
      <c r="F43" s="1386"/>
      <c r="G43" s="1386"/>
      <c r="H43" s="1386"/>
      <c r="I43" s="1386"/>
      <c r="J43" s="1386"/>
      <c r="K43" s="1386"/>
      <c r="L43" s="927">
        <f>+L11-L37</f>
        <v>0</v>
      </c>
    </row>
    <row r="44" spans="1:12" ht="25.5" customHeight="1">
      <c r="A44" s="879"/>
      <c r="D44" s="939"/>
      <c r="E44" s="1386" t="s">
        <v>785</v>
      </c>
      <c r="F44" s="1386"/>
      <c r="G44" s="1386"/>
      <c r="H44" s="1386"/>
      <c r="I44" s="1386"/>
      <c r="J44" s="1386"/>
      <c r="K44" s="1386"/>
      <c r="L44" s="927">
        <f>+L17-L38</f>
        <v>0</v>
      </c>
    </row>
    <row r="45" spans="1:12" ht="25.5" customHeight="1">
      <c r="A45" s="879"/>
      <c r="D45" s="939"/>
      <c r="E45" s="1386" t="s">
        <v>786</v>
      </c>
      <c r="F45" s="1386"/>
      <c r="G45" s="1386"/>
      <c r="H45" s="1386"/>
      <c r="I45" s="1386"/>
      <c r="J45" s="1386"/>
      <c r="K45" s="1386"/>
      <c r="L45" s="927">
        <f>+L23-L39</f>
        <v>0</v>
      </c>
    </row>
    <row r="46" spans="1:12" ht="25.5" customHeight="1">
      <c r="A46" s="879"/>
      <c r="D46" s="939"/>
      <c r="E46" s="1386" t="s">
        <v>787</v>
      </c>
      <c r="F46" s="1386"/>
      <c r="G46" s="1386"/>
      <c r="H46" s="1386"/>
      <c r="I46" s="1386"/>
      <c r="J46" s="1386"/>
      <c r="K46" s="1386"/>
      <c r="L46" s="927">
        <f>+L29-L40</f>
        <v>0</v>
      </c>
    </row>
    <row r="47" spans="1:12" ht="25.5" customHeight="1">
      <c r="A47" s="879"/>
      <c r="D47" s="939"/>
      <c r="E47" s="1386" t="s">
        <v>788</v>
      </c>
      <c r="F47" s="1386"/>
      <c r="G47" s="1386"/>
      <c r="H47" s="1386"/>
      <c r="I47" s="1386"/>
      <c r="J47" s="1386"/>
      <c r="K47" s="1386"/>
      <c r="L47" s="927">
        <f>+L35-L41</f>
        <v>0</v>
      </c>
    </row>
    <row r="48" spans="1:12" ht="25.5" customHeight="1">
      <c r="A48" s="875"/>
      <c r="B48" s="868"/>
      <c r="C48" s="868"/>
      <c r="D48" s="941"/>
      <c r="E48" s="1387" t="s">
        <v>789</v>
      </c>
      <c r="F48" s="1387"/>
      <c r="G48" s="1387"/>
      <c r="H48" s="1387"/>
      <c r="I48" s="1387"/>
      <c r="J48" s="1387"/>
      <c r="K48" s="1387"/>
      <c r="L48" s="940">
        <f>SUM(L43:L47)</f>
        <v>0</v>
      </c>
    </row>
    <row r="49" spans="1:17" ht="16.5" customHeight="1">
      <c r="A49" s="1385" t="s">
        <v>790</v>
      </c>
      <c r="B49" s="1385"/>
      <c r="C49" s="1385"/>
      <c r="D49" s="1385"/>
      <c r="E49" s="1385"/>
      <c r="F49" s="1385"/>
      <c r="G49" s="1385"/>
      <c r="H49" s="1385"/>
      <c r="I49" s="1385"/>
      <c r="J49" s="1385"/>
      <c r="K49" s="1385"/>
      <c r="L49" s="1385"/>
      <c r="M49" s="942"/>
      <c r="N49" s="942"/>
      <c r="O49" s="942"/>
      <c r="P49" s="942"/>
      <c r="Q49" s="942"/>
    </row>
    <row r="50" spans="1:13" ht="31.5" customHeight="1">
      <c r="A50" s="1385" t="s">
        <v>791</v>
      </c>
      <c r="B50" s="1385"/>
      <c r="C50" s="1385"/>
      <c r="D50" s="1385"/>
      <c r="E50" s="1385"/>
      <c r="F50" s="1385"/>
      <c r="G50" s="1385"/>
      <c r="H50" s="1385"/>
      <c r="I50" s="1385"/>
      <c r="J50" s="1385"/>
      <c r="K50" s="1385"/>
      <c r="L50" s="1385"/>
      <c r="M50" s="942"/>
    </row>
  </sheetData>
  <sheetProtection/>
  <mergeCells count="49">
    <mergeCell ref="A1:M1"/>
    <mergeCell ref="A2:L2"/>
    <mergeCell ref="A4:B4"/>
    <mergeCell ref="B5:C5"/>
    <mergeCell ref="A6:C6"/>
    <mergeCell ref="B7:C7"/>
    <mergeCell ref="B8:C8"/>
    <mergeCell ref="B9:C9"/>
    <mergeCell ref="B10:C10"/>
    <mergeCell ref="A11:D11"/>
    <mergeCell ref="A12:D12"/>
    <mergeCell ref="B13:C13"/>
    <mergeCell ref="B14:C14"/>
    <mergeCell ref="B15:C15"/>
    <mergeCell ref="B16:C16"/>
    <mergeCell ref="A17:E17"/>
    <mergeCell ref="A18:D18"/>
    <mergeCell ref="B19:C19"/>
    <mergeCell ref="B20:C20"/>
    <mergeCell ref="B21:C21"/>
    <mergeCell ref="B22:C22"/>
    <mergeCell ref="A23:E23"/>
    <mergeCell ref="A24:D24"/>
    <mergeCell ref="B25:C25"/>
    <mergeCell ref="B26:C26"/>
    <mergeCell ref="B27:C27"/>
    <mergeCell ref="B28:C28"/>
    <mergeCell ref="A29:E29"/>
    <mergeCell ref="A30:C30"/>
    <mergeCell ref="B31:C31"/>
    <mergeCell ref="B32:C32"/>
    <mergeCell ref="B33:C33"/>
    <mergeCell ref="B34:C34"/>
    <mergeCell ref="A35:C35"/>
    <mergeCell ref="A36:E36"/>
    <mergeCell ref="E37:K37"/>
    <mergeCell ref="E38:K38"/>
    <mergeCell ref="E39:K39"/>
    <mergeCell ref="E40:K40"/>
    <mergeCell ref="E41:K41"/>
    <mergeCell ref="E42:K42"/>
    <mergeCell ref="E43:K43"/>
    <mergeCell ref="A50:L50"/>
    <mergeCell ref="E44:K44"/>
    <mergeCell ref="E45:K45"/>
    <mergeCell ref="E46:K46"/>
    <mergeCell ref="E47:K47"/>
    <mergeCell ref="E48:K48"/>
    <mergeCell ref="A49:L49"/>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L43"/>
  <sheetViews>
    <sheetView showGridLines="0" zoomScalePageLayoutView="0" workbookViewId="0" topLeftCell="A1">
      <selection activeCell="A4" sqref="A4"/>
    </sheetView>
  </sheetViews>
  <sheetFormatPr defaultColWidth="9.140625" defaultRowHeight="12.75"/>
  <cols>
    <col min="2" max="2" width="22.7109375" style="0" customWidth="1"/>
    <col min="4" max="4" width="15.8515625" style="0" customWidth="1"/>
    <col min="5" max="5" width="11.57421875" style="0" customWidth="1"/>
    <col min="6" max="6" width="14.7109375" style="0" customWidth="1"/>
    <col min="7" max="7" width="16.8515625" style="0" customWidth="1"/>
    <col min="8" max="8" width="18.00390625" style="0" customWidth="1"/>
    <col min="9" max="9" width="20.421875" style="0" customWidth="1"/>
    <col min="10" max="11" width="16.28125" style="0" customWidth="1"/>
  </cols>
  <sheetData>
    <row r="1" spans="1:11" ht="27.75" customHeight="1">
      <c r="A1" s="1382" t="s">
        <v>792</v>
      </c>
      <c r="B1" s="1382"/>
      <c r="C1" s="1382"/>
      <c r="D1" s="1382"/>
      <c r="E1" s="1382"/>
      <c r="F1" s="1382"/>
      <c r="G1" s="1382"/>
      <c r="H1" s="1382"/>
      <c r="I1" s="1382"/>
      <c r="J1" s="1382"/>
      <c r="K1" s="1382"/>
    </row>
    <row r="2" spans="1:10" ht="21">
      <c r="A2" s="1383" t="s">
        <v>793</v>
      </c>
      <c r="B2" s="1383"/>
      <c r="C2" s="1383"/>
      <c r="D2" s="1383"/>
      <c r="E2" s="1383"/>
      <c r="F2" s="1383"/>
      <c r="G2" s="1383"/>
      <c r="H2" s="1383"/>
      <c r="I2" s="1383"/>
      <c r="J2" s="1383"/>
    </row>
    <row r="4" spans="1:11" ht="234.75" customHeight="1">
      <c r="A4" s="943" t="s">
        <v>794</v>
      </c>
      <c r="B4" s="943" t="s">
        <v>795</v>
      </c>
      <c r="C4" s="943" t="s">
        <v>796</v>
      </c>
      <c r="D4" s="943" t="s">
        <v>795</v>
      </c>
      <c r="E4" s="943" t="s">
        <v>797</v>
      </c>
      <c r="F4" s="943" t="s">
        <v>798</v>
      </c>
      <c r="G4" s="922" t="s">
        <v>799</v>
      </c>
      <c r="H4" s="922" t="s">
        <v>800</v>
      </c>
      <c r="I4" s="943" t="s">
        <v>801</v>
      </c>
      <c r="J4" s="943" t="s">
        <v>802</v>
      </c>
      <c r="K4" s="943" t="s">
        <v>803</v>
      </c>
    </row>
    <row r="5" spans="1:11" ht="27">
      <c r="A5" s="944"/>
      <c r="B5" s="944"/>
      <c r="C5" s="944"/>
      <c r="D5" s="944"/>
      <c r="E5" s="945" t="s">
        <v>730</v>
      </c>
      <c r="F5" s="945" t="s">
        <v>731</v>
      </c>
      <c r="G5" s="945" t="s">
        <v>732</v>
      </c>
      <c r="H5" s="945" t="s">
        <v>733</v>
      </c>
      <c r="I5" s="945" t="s">
        <v>764</v>
      </c>
      <c r="J5" s="946" t="s">
        <v>804</v>
      </c>
      <c r="K5" s="946" t="s">
        <v>805</v>
      </c>
    </row>
    <row r="6" spans="1:11" ht="15">
      <c r="A6" s="923"/>
      <c r="B6" s="923"/>
      <c r="C6" s="923"/>
      <c r="D6" s="923"/>
      <c r="E6" s="923"/>
      <c r="F6" s="923"/>
      <c r="G6" s="923"/>
      <c r="H6" s="923"/>
      <c r="I6" s="923"/>
      <c r="J6" s="927">
        <f>+E6+F6-G6-H6-I6</f>
        <v>0</v>
      </c>
      <c r="K6" s="927"/>
    </row>
    <row r="7" spans="1:11" ht="15">
      <c r="A7" s="923"/>
      <c r="B7" s="923"/>
      <c r="C7" s="923"/>
      <c r="D7" s="935"/>
      <c r="E7" s="923"/>
      <c r="F7" s="923"/>
      <c r="G7" s="923"/>
      <c r="H7" s="923"/>
      <c r="I7" s="923"/>
      <c r="J7" s="927">
        <f aca="true" t="shared" si="0" ref="J7:J21">+E7+F7-G7-H7-I7</f>
        <v>0</v>
      </c>
      <c r="K7" s="927"/>
    </row>
    <row r="8" spans="1:11" ht="15">
      <c r="A8" s="923"/>
      <c r="B8" s="923"/>
      <c r="C8" s="923"/>
      <c r="D8" s="935"/>
      <c r="E8" s="923"/>
      <c r="F8" s="923"/>
      <c r="G8" s="923"/>
      <c r="H8" s="923"/>
      <c r="I8" s="923"/>
      <c r="J8" s="927">
        <f t="shared" si="0"/>
        <v>0</v>
      </c>
      <c r="K8" s="927"/>
    </row>
    <row r="9" spans="1:11" ht="15">
      <c r="A9" s="923"/>
      <c r="B9" s="923"/>
      <c r="C9" s="923"/>
      <c r="D9" s="935"/>
      <c r="E9" s="923"/>
      <c r="F9" s="923"/>
      <c r="G9" s="923"/>
      <c r="H9" s="923"/>
      <c r="I9" s="923"/>
      <c r="J9" s="927">
        <f t="shared" si="0"/>
        <v>0</v>
      </c>
      <c r="K9" s="927"/>
    </row>
    <row r="10" spans="1:11" ht="15">
      <c r="A10" s="923"/>
      <c r="B10" s="935"/>
      <c r="C10" s="923"/>
      <c r="D10" s="935"/>
      <c r="E10" s="923"/>
      <c r="F10" s="923"/>
      <c r="G10" s="923"/>
      <c r="H10" s="923"/>
      <c r="I10" s="923"/>
      <c r="J10" s="927">
        <f t="shared" si="0"/>
        <v>0</v>
      </c>
      <c r="K10" s="927"/>
    </row>
    <row r="11" spans="1:11" ht="15">
      <c r="A11" s="923"/>
      <c r="B11" s="923"/>
      <c r="C11" s="923"/>
      <c r="D11" s="923"/>
      <c r="E11" s="923"/>
      <c r="F11" s="923"/>
      <c r="G11" s="923"/>
      <c r="H11" s="923"/>
      <c r="I11" s="923"/>
      <c r="J11" s="927">
        <f t="shared" si="0"/>
        <v>0</v>
      </c>
      <c r="K11" s="927"/>
    </row>
    <row r="12" spans="1:11" ht="15">
      <c r="A12" s="923"/>
      <c r="B12" s="923"/>
      <c r="C12" s="923"/>
      <c r="D12" s="923"/>
      <c r="E12" s="923"/>
      <c r="F12" s="923"/>
      <c r="G12" s="923"/>
      <c r="H12" s="923"/>
      <c r="I12" s="923"/>
      <c r="J12" s="927">
        <f t="shared" si="0"/>
        <v>0</v>
      </c>
      <c r="K12" s="927"/>
    </row>
    <row r="13" spans="1:11" ht="15">
      <c r="A13" s="923"/>
      <c r="B13" s="923"/>
      <c r="C13" s="923"/>
      <c r="D13" s="923"/>
      <c r="E13" s="923"/>
      <c r="F13" s="923"/>
      <c r="G13" s="923"/>
      <c r="H13" s="923"/>
      <c r="I13" s="923"/>
      <c r="J13" s="927">
        <f t="shared" si="0"/>
        <v>0</v>
      </c>
      <c r="K13" s="927"/>
    </row>
    <row r="14" spans="1:11" ht="15">
      <c r="A14" s="923"/>
      <c r="B14" s="923"/>
      <c r="C14" s="923"/>
      <c r="D14" s="923"/>
      <c r="E14" s="923"/>
      <c r="F14" s="923"/>
      <c r="G14" s="923"/>
      <c r="H14" s="923"/>
      <c r="I14" s="923"/>
      <c r="J14" s="927">
        <f t="shared" si="0"/>
        <v>0</v>
      </c>
      <c r="K14" s="927"/>
    </row>
    <row r="15" spans="1:11" ht="15">
      <c r="A15" s="923"/>
      <c r="B15" s="923"/>
      <c r="C15" s="923"/>
      <c r="D15" s="923"/>
      <c r="E15" s="923"/>
      <c r="F15" s="923"/>
      <c r="G15" s="923"/>
      <c r="H15" s="923"/>
      <c r="I15" s="923"/>
      <c r="J15" s="927">
        <f t="shared" si="0"/>
        <v>0</v>
      </c>
      <c r="K15" s="927"/>
    </row>
    <row r="16" spans="1:11" ht="15">
      <c r="A16" s="923"/>
      <c r="B16" s="923"/>
      <c r="C16" s="923"/>
      <c r="D16" s="923"/>
      <c r="E16" s="923"/>
      <c r="F16" s="923"/>
      <c r="G16" s="923"/>
      <c r="H16" s="923"/>
      <c r="I16" s="923"/>
      <c r="J16" s="927">
        <f t="shared" si="0"/>
        <v>0</v>
      </c>
      <c r="K16" s="927"/>
    </row>
    <row r="17" spans="1:11" ht="15">
      <c r="A17" s="923"/>
      <c r="B17" s="923"/>
      <c r="C17" s="923"/>
      <c r="D17" s="923"/>
      <c r="E17" s="923"/>
      <c r="F17" s="923"/>
      <c r="G17" s="923"/>
      <c r="H17" s="923"/>
      <c r="I17" s="923"/>
      <c r="J17" s="927">
        <f t="shared" si="0"/>
        <v>0</v>
      </c>
      <c r="K17" s="927"/>
    </row>
    <row r="18" spans="1:11" ht="15">
      <c r="A18" s="923"/>
      <c r="B18" s="923"/>
      <c r="C18" s="923"/>
      <c r="D18" s="923"/>
      <c r="E18" s="923"/>
      <c r="F18" s="923"/>
      <c r="G18" s="923"/>
      <c r="H18" s="923"/>
      <c r="I18" s="923"/>
      <c r="J18" s="927">
        <f t="shared" si="0"/>
        <v>0</v>
      </c>
      <c r="K18" s="927"/>
    </row>
    <row r="19" spans="1:11" ht="15">
      <c r="A19" s="923"/>
      <c r="B19" s="923"/>
      <c r="C19" s="923"/>
      <c r="D19" s="923"/>
      <c r="E19" s="923"/>
      <c r="F19" s="923"/>
      <c r="G19" s="923"/>
      <c r="H19" s="923"/>
      <c r="I19" s="923"/>
      <c r="J19" s="927">
        <f t="shared" si="0"/>
        <v>0</v>
      </c>
      <c r="K19" s="927"/>
    </row>
    <row r="20" spans="1:11" ht="15">
      <c r="A20" s="923"/>
      <c r="B20" s="923"/>
      <c r="C20" s="923"/>
      <c r="D20" s="923"/>
      <c r="E20" s="923"/>
      <c r="F20" s="923"/>
      <c r="G20" s="923"/>
      <c r="H20" s="923"/>
      <c r="I20" s="923"/>
      <c r="J20" s="927">
        <f t="shared" si="0"/>
        <v>0</v>
      </c>
      <c r="K20" s="927"/>
    </row>
    <row r="21" spans="1:11" ht="15">
      <c r="A21" s="923"/>
      <c r="B21" s="923"/>
      <c r="C21" s="923"/>
      <c r="D21" s="923"/>
      <c r="E21" s="923"/>
      <c r="F21" s="923"/>
      <c r="G21" s="923"/>
      <c r="H21" s="923"/>
      <c r="I21" s="923"/>
      <c r="J21" s="927">
        <f t="shared" si="0"/>
        <v>0</v>
      </c>
      <c r="K21" s="927"/>
    </row>
    <row r="22" spans="1:11" ht="15">
      <c r="A22" s="1394" t="s">
        <v>747</v>
      </c>
      <c r="B22" s="1394"/>
      <c r="C22" s="1394"/>
      <c r="D22" s="1394"/>
      <c r="E22" s="927">
        <f aca="true" t="shared" si="1" ref="E22:K22">SUM(E6:E21)</f>
        <v>0</v>
      </c>
      <c r="F22" s="927">
        <f t="shared" si="1"/>
        <v>0</v>
      </c>
      <c r="G22" s="927">
        <f t="shared" si="1"/>
        <v>0</v>
      </c>
      <c r="H22" s="927">
        <f t="shared" si="1"/>
        <v>0</v>
      </c>
      <c r="I22" s="927">
        <f t="shared" si="1"/>
        <v>0</v>
      </c>
      <c r="J22" s="927">
        <f t="shared" si="1"/>
        <v>0</v>
      </c>
      <c r="K22" s="927">
        <f t="shared" si="1"/>
        <v>0</v>
      </c>
    </row>
    <row r="23" spans="1:11" ht="40.5" customHeight="1">
      <c r="A23" s="937"/>
      <c r="B23" s="856"/>
      <c r="C23" s="856"/>
      <c r="D23" s="938"/>
      <c r="E23" s="1387" t="s">
        <v>806</v>
      </c>
      <c r="F23" s="1387"/>
      <c r="G23" s="1387"/>
      <c r="H23" s="1387"/>
      <c r="I23" s="1387"/>
      <c r="J23" s="927"/>
      <c r="K23" s="947"/>
    </row>
    <row r="24" spans="1:11" ht="44.25" customHeight="1">
      <c r="A24" s="875"/>
      <c r="B24" s="868"/>
      <c r="C24" s="868"/>
      <c r="D24" s="941"/>
      <c r="E24" s="1387" t="s">
        <v>807</v>
      </c>
      <c r="F24" s="1387"/>
      <c r="G24" s="1387"/>
      <c r="H24" s="1387"/>
      <c r="I24" s="1387"/>
      <c r="J24" s="927">
        <f>+J22-J23</f>
        <v>0</v>
      </c>
      <c r="K24" s="947"/>
    </row>
    <row r="25" spans="1:10" ht="33.75" customHeight="1">
      <c r="A25" s="1395" t="s">
        <v>808</v>
      </c>
      <c r="B25" s="1395"/>
      <c r="C25" s="1395"/>
      <c r="D25" s="1395"/>
      <c r="E25" s="1395"/>
      <c r="F25" s="1395"/>
      <c r="G25" s="1395"/>
      <c r="H25" s="1395"/>
      <c r="I25" s="1395"/>
      <c r="J25" s="1395"/>
    </row>
    <row r="26" spans="1:10" ht="47.25" customHeight="1">
      <c r="A26" s="1384" t="s">
        <v>809</v>
      </c>
      <c r="B26" s="1384"/>
      <c r="C26" s="1384"/>
      <c r="D26" s="1384"/>
      <c r="E26" s="1384"/>
      <c r="F26" s="1384"/>
      <c r="G26" s="1384"/>
      <c r="H26" s="1384"/>
      <c r="I26" s="1384"/>
      <c r="J26" s="1384"/>
    </row>
    <row r="43" ht="12.75">
      <c r="L43">
        <f>+L11-L37</f>
        <v>0</v>
      </c>
    </row>
  </sheetData>
  <sheetProtection/>
  <mergeCells count="7">
    <mergeCell ref="A26:J26"/>
    <mergeCell ref="A1:K1"/>
    <mergeCell ref="A2:J2"/>
    <mergeCell ref="A22:D22"/>
    <mergeCell ref="E23:I23"/>
    <mergeCell ref="E24:I24"/>
    <mergeCell ref="A25:J2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K27"/>
  <sheetViews>
    <sheetView showGridLines="0" zoomScalePageLayoutView="0" workbookViewId="0" topLeftCell="A11">
      <selection activeCell="G16" sqref="G16"/>
    </sheetView>
  </sheetViews>
  <sheetFormatPr defaultColWidth="9.140625" defaultRowHeight="12.75"/>
  <cols>
    <col min="1" max="3" width="9.140625" style="223" customWidth="1"/>
    <col min="4" max="4" width="40.57421875" style="223" customWidth="1"/>
    <col min="5" max="5" width="27.28125" style="223" customWidth="1"/>
    <col min="6" max="6" width="20.7109375" style="293" customWidth="1"/>
    <col min="7" max="16384" width="9.140625" style="223" customWidth="1"/>
  </cols>
  <sheetData>
    <row r="1" spans="1:7" s="294" customFormat="1" ht="17.25">
      <c r="A1" s="1431" t="s">
        <v>529</v>
      </c>
      <c r="B1" s="1431"/>
      <c r="C1" s="1431"/>
      <c r="D1" s="1431"/>
      <c r="E1" s="1431"/>
      <c r="F1" s="1431"/>
      <c r="G1" s="172"/>
    </row>
    <row r="2" spans="1:6" s="81" customFormat="1" ht="42" customHeight="1">
      <c r="A2" s="1432" t="s">
        <v>530</v>
      </c>
      <c r="B2" s="1433"/>
      <c r="C2" s="1433"/>
      <c r="D2" s="1433"/>
      <c r="E2" s="1433"/>
      <c r="F2" s="1434"/>
    </row>
    <row r="3" spans="1:6" ht="30" customHeight="1">
      <c r="A3" s="1435" t="s">
        <v>974</v>
      </c>
      <c r="B3" s="1436"/>
      <c r="C3" s="1436"/>
      <c r="D3" s="1436"/>
      <c r="E3" s="1436"/>
      <c r="F3" s="1437"/>
    </row>
    <row r="4" spans="1:6" ht="30" customHeight="1">
      <c r="A4" s="1418" t="s">
        <v>531</v>
      </c>
      <c r="B4" s="1419"/>
      <c r="C4" s="1419"/>
      <c r="D4" s="1419"/>
      <c r="E4" s="295"/>
      <c r="F4" s="296">
        <v>1853420.45</v>
      </c>
    </row>
    <row r="5" spans="1:6" ht="30" customHeight="1">
      <c r="A5" s="1428" t="s">
        <v>532</v>
      </c>
      <c r="B5" s="1438"/>
      <c r="C5" s="1438"/>
      <c r="D5" s="1438"/>
      <c r="E5" s="1439"/>
      <c r="F5" s="296">
        <v>479875.34</v>
      </c>
    </row>
    <row r="6" spans="1:6" ht="30" customHeight="1">
      <c r="A6" s="1418" t="s">
        <v>533</v>
      </c>
      <c r="B6" s="1419"/>
      <c r="C6" s="1419"/>
      <c r="D6" s="1419"/>
      <c r="E6" s="297"/>
      <c r="F6" s="296">
        <v>204863.12</v>
      </c>
    </row>
    <row r="7" spans="1:6" ht="30" customHeight="1">
      <c r="A7" s="1423" t="s">
        <v>534</v>
      </c>
      <c r="B7" s="1424"/>
      <c r="C7" s="1424"/>
      <c r="D7" s="1424"/>
      <c r="E7" s="295"/>
      <c r="F7" s="298">
        <f>SUM(F4:F6)</f>
        <v>2538158.91</v>
      </c>
    </row>
    <row r="8" spans="1:6" ht="30" customHeight="1">
      <c r="A8" s="1425" t="s">
        <v>535</v>
      </c>
      <c r="B8" s="1426"/>
      <c r="C8" s="1426"/>
      <c r="D8" s="1426"/>
      <c r="E8" s="1426"/>
      <c r="F8" s="1427"/>
    </row>
    <row r="9" spans="1:6" ht="30" customHeight="1">
      <c r="A9" s="1403" t="s">
        <v>536</v>
      </c>
      <c r="B9" s="1404"/>
      <c r="C9" s="1404"/>
      <c r="D9" s="1404"/>
      <c r="E9" s="295"/>
      <c r="F9" s="296">
        <f>F7*10%</f>
        <v>253815.89100000003</v>
      </c>
    </row>
    <row r="10" spans="1:6" ht="30" customHeight="1">
      <c r="A10" s="1428" t="s">
        <v>656</v>
      </c>
      <c r="B10" s="1429"/>
      <c r="C10" s="1429"/>
      <c r="D10" s="1429"/>
      <c r="E10" s="1430"/>
      <c r="F10" s="296">
        <v>34053.09</v>
      </c>
    </row>
    <row r="11" spans="1:6" ht="30" customHeight="1">
      <c r="A11" s="1428" t="s">
        <v>657</v>
      </c>
      <c r="B11" s="1429"/>
      <c r="C11" s="1429"/>
      <c r="D11" s="1429"/>
      <c r="E11" s="1430"/>
      <c r="F11" s="296">
        <v>2225.78</v>
      </c>
    </row>
    <row r="12" spans="1:6" ht="30" customHeight="1">
      <c r="A12" s="1403" t="s">
        <v>537</v>
      </c>
      <c r="B12" s="1404"/>
      <c r="C12" s="1404"/>
      <c r="D12" s="1404"/>
      <c r="E12" s="1405"/>
      <c r="F12" s="296">
        <v>0</v>
      </c>
    </row>
    <row r="13" spans="1:6" ht="30" customHeight="1">
      <c r="A13" s="1403" t="s">
        <v>538</v>
      </c>
      <c r="B13" s="1404"/>
      <c r="C13" s="1404"/>
      <c r="D13" s="1404"/>
      <c r="E13" s="1405"/>
      <c r="F13" s="299">
        <v>0</v>
      </c>
    </row>
    <row r="14" spans="1:6" ht="30" customHeight="1">
      <c r="A14" s="1406" t="s">
        <v>539</v>
      </c>
      <c r="B14" s="1407"/>
      <c r="C14" s="1407"/>
      <c r="D14" s="1407"/>
      <c r="E14" s="1408"/>
      <c r="F14" s="300">
        <f>F9-F10-F11+F12+F13</f>
        <v>217537.02100000004</v>
      </c>
    </row>
    <row r="15" spans="1:6" ht="30" customHeight="1">
      <c r="A15" s="1412" t="s">
        <v>540</v>
      </c>
      <c r="B15" s="1413"/>
      <c r="C15" s="1413"/>
      <c r="D15" s="1413"/>
      <c r="E15" s="1413"/>
      <c r="F15" s="1414"/>
    </row>
    <row r="16" spans="1:6" ht="30" customHeight="1">
      <c r="A16" s="1415" t="s">
        <v>898</v>
      </c>
      <c r="B16" s="1416"/>
      <c r="C16" s="1416"/>
      <c r="D16" s="1416"/>
      <c r="E16" s="1417"/>
      <c r="F16" s="299">
        <v>925669.6</v>
      </c>
    </row>
    <row r="17" spans="1:6" ht="30" customHeight="1">
      <c r="A17" s="1418" t="s">
        <v>975</v>
      </c>
      <c r="B17" s="1419"/>
      <c r="C17" s="1419"/>
      <c r="D17" s="1419"/>
      <c r="E17" s="1420"/>
      <c r="F17" s="299">
        <v>150000</v>
      </c>
    </row>
    <row r="18" spans="1:6" ht="30" customHeight="1">
      <c r="A18" s="1421" t="s">
        <v>541</v>
      </c>
      <c r="B18" s="1422"/>
      <c r="C18" s="1422"/>
      <c r="D18" s="1422"/>
      <c r="E18" s="1422"/>
      <c r="F18" s="301">
        <f>SUM(F16:F17)</f>
        <v>1075669.6</v>
      </c>
    </row>
    <row r="19" spans="1:6" ht="30" customHeight="1">
      <c r="A19" s="1397" t="s">
        <v>542</v>
      </c>
      <c r="B19" s="1398"/>
      <c r="C19" s="1398"/>
      <c r="D19" s="1398"/>
      <c r="E19" s="1398"/>
      <c r="F19" s="1399"/>
    </row>
    <row r="20" spans="1:6" ht="24.75" customHeight="1">
      <c r="A20" s="1400" t="s">
        <v>543</v>
      </c>
      <c r="B20" s="1401"/>
      <c r="C20" s="1401"/>
      <c r="D20" s="1401"/>
      <c r="E20" s="1402"/>
      <c r="F20" s="299">
        <v>0</v>
      </c>
    </row>
    <row r="21" spans="1:6" ht="24.75" customHeight="1">
      <c r="A21" s="1403" t="s">
        <v>544</v>
      </c>
      <c r="B21" s="1404"/>
      <c r="C21" s="1404"/>
      <c r="D21" s="1404"/>
      <c r="E21" s="1405"/>
      <c r="F21" s="299">
        <v>0</v>
      </c>
    </row>
    <row r="22" spans="1:6" ht="24.75" customHeight="1">
      <c r="A22" s="1406" t="s">
        <v>545</v>
      </c>
      <c r="B22" s="1407"/>
      <c r="C22" s="1407"/>
      <c r="D22" s="1407"/>
      <c r="E22" s="1408"/>
      <c r="F22" s="302">
        <f>F20</f>
        <v>0</v>
      </c>
    </row>
    <row r="23" spans="1:6" ht="30" customHeight="1">
      <c r="A23" s="1409" t="s">
        <v>546</v>
      </c>
      <c r="B23" s="1409"/>
      <c r="C23" s="1409"/>
      <c r="D23" s="1409"/>
      <c r="E23" s="1409"/>
      <c r="F23" s="303">
        <f>F10+F22</f>
        <v>34053.09</v>
      </c>
    </row>
    <row r="24" spans="1:6" s="213" customFormat="1" ht="26.25" customHeight="1">
      <c r="A24" s="1410" t="s">
        <v>547</v>
      </c>
      <c r="B24" s="1411"/>
      <c r="C24" s="1411"/>
      <c r="D24" s="1411"/>
      <c r="E24" s="1411"/>
      <c r="F24" s="304">
        <f>(F23)/F7</f>
        <v>0.013416453109313</v>
      </c>
    </row>
    <row r="25" ht="12.75">
      <c r="A25" s="305"/>
    </row>
    <row r="26" spans="1:11" ht="83.25" customHeight="1">
      <c r="A26" s="1396" t="s">
        <v>548</v>
      </c>
      <c r="B26" s="1396"/>
      <c r="C26" s="1396"/>
      <c r="D26" s="1396"/>
      <c r="E26" s="1396"/>
      <c r="F26" s="1396"/>
      <c r="G26" s="236"/>
      <c r="H26" s="236"/>
      <c r="I26" s="236"/>
      <c r="J26" s="236"/>
      <c r="K26" s="236"/>
    </row>
    <row r="27" ht="21.75" customHeight="1">
      <c r="A27" s="306" t="s">
        <v>549</v>
      </c>
    </row>
  </sheetData>
  <sheetProtection/>
  <mergeCells count="25">
    <mergeCell ref="A1:F1"/>
    <mergeCell ref="A2:F2"/>
    <mergeCell ref="A3:F3"/>
    <mergeCell ref="A4:D4"/>
    <mergeCell ref="A5:E5"/>
    <mergeCell ref="A6:D6"/>
    <mergeCell ref="A7:D7"/>
    <mergeCell ref="A8:F8"/>
    <mergeCell ref="A9:D9"/>
    <mergeCell ref="A10:E10"/>
    <mergeCell ref="A11:E11"/>
    <mergeCell ref="A12:E12"/>
    <mergeCell ref="A13:E13"/>
    <mergeCell ref="A14:E14"/>
    <mergeCell ref="A15:F15"/>
    <mergeCell ref="A16:E16"/>
    <mergeCell ref="A17:E17"/>
    <mergeCell ref="A18:E18"/>
    <mergeCell ref="A26:F26"/>
    <mergeCell ref="A19:F19"/>
    <mergeCell ref="A20:E20"/>
    <mergeCell ref="A21:E21"/>
    <mergeCell ref="A22:E22"/>
    <mergeCell ref="A23:E23"/>
    <mergeCell ref="A24:E2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K27"/>
  <sheetViews>
    <sheetView showGridLines="0" zoomScalePageLayoutView="0" workbookViewId="0" topLeftCell="A12">
      <selection activeCell="F17" sqref="F17"/>
    </sheetView>
  </sheetViews>
  <sheetFormatPr defaultColWidth="9.140625" defaultRowHeight="12.75"/>
  <cols>
    <col min="1" max="3" width="9.140625" style="223" customWidth="1"/>
    <col min="4" max="4" width="40.57421875" style="223" customWidth="1"/>
    <col min="5" max="5" width="27.28125" style="223" customWidth="1"/>
    <col min="6" max="6" width="20.7109375" style="293" customWidth="1"/>
    <col min="7" max="16384" width="9.140625" style="223" customWidth="1"/>
  </cols>
  <sheetData>
    <row r="1" spans="1:7" s="294" customFormat="1" ht="17.25">
      <c r="A1" s="1431" t="s">
        <v>529</v>
      </c>
      <c r="B1" s="1431"/>
      <c r="C1" s="1431"/>
      <c r="D1" s="1431"/>
      <c r="E1" s="1431"/>
      <c r="F1" s="1431"/>
      <c r="G1" s="172"/>
    </row>
    <row r="2" spans="1:6" s="81" customFormat="1" ht="42" customHeight="1">
      <c r="A2" s="1432" t="s">
        <v>530</v>
      </c>
      <c r="B2" s="1433"/>
      <c r="C2" s="1433"/>
      <c r="D2" s="1433"/>
      <c r="E2" s="1433"/>
      <c r="F2" s="1434"/>
    </row>
    <row r="3" spans="1:6" ht="30" customHeight="1">
      <c r="A3" s="1435" t="s">
        <v>692</v>
      </c>
      <c r="B3" s="1436"/>
      <c r="C3" s="1436"/>
      <c r="D3" s="1436"/>
      <c r="E3" s="1436"/>
      <c r="F3" s="1437"/>
    </row>
    <row r="4" spans="1:6" ht="30" customHeight="1">
      <c r="A4" s="1418" t="s">
        <v>531</v>
      </c>
      <c r="B4" s="1419"/>
      <c r="C4" s="1419"/>
      <c r="D4" s="1419"/>
      <c r="E4" s="295"/>
      <c r="F4" s="296">
        <f>ENTRATA!M18</f>
        <v>1610213</v>
      </c>
    </row>
    <row r="5" spans="1:6" ht="30" customHeight="1">
      <c r="A5" s="1428" t="s">
        <v>532</v>
      </c>
      <c r="B5" s="1438"/>
      <c r="C5" s="1438"/>
      <c r="D5" s="1438"/>
      <c r="E5" s="1439"/>
      <c r="F5" s="296">
        <f>ENTRATA!M67</f>
        <v>307674</v>
      </c>
    </row>
    <row r="6" spans="1:6" ht="30" customHeight="1">
      <c r="A6" s="1418" t="s">
        <v>533</v>
      </c>
      <c r="B6" s="1419"/>
      <c r="C6" s="1419"/>
      <c r="D6" s="1419"/>
      <c r="E6" s="297"/>
      <c r="F6" s="296">
        <f>ENTRATA!M103</f>
        <v>301420</v>
      </c>
    </row>
    <row r="7" spans="1:6" ht="30" customHeight="1">
      <c r="A7" s="1423" t="s">
        <v>534</v>
      </c>
      <c r="B7" s="1424"/>
      <c r="C7" s="1424"/>
      <c r="D7" s="1424"/>
      <c r="E7" s="295"/>
      <c r="F7" s="298">
        <f>SUM(F4:F6)</f>
        <v>2219307</v>
      </c>
    </row>
    <row r="8" spans="1:6" ht="30" customHeight="1">
      <c r="A8" s="1425" t="s">
        <v>535</v>
      </c>
      <c r="B8" s="1426"/>
      <c r="C8" s="1426"/>
      <c r="D8" s="1426"/>
      <c r="E8" s="1426"/>
      <c r="F8" s="1427"/>
    </row>
    <row r="9" spans="1:6" ht="30" customHeight="1">
      <c r="A9" s="1403" t="s">
        <v>536</v>
      </c>
      <c r="B9" s="1404"/>
      <c r="C9" s="1404"/>
      <c r="D9" s="1404"/>
      <c r="E9" s="295"/>
      <c r="F9" s="296">
        <f>F7*10%</f>
        <v>221930.7</v>
      </c>
    </row>
    <row r="10" spans="1:6" ht="30" customHeight="1">
      <c r="A10" s="1428" t="s">
        <v>693</v>
      </c>
      <c r="B10" s="1429"/>
      <c r="C10" s="1429"/>
      <c r="D10" s="1429"/>
      <c r="E10" s="1430"/>
      <c r="F10" s="296">
        <v>30036.84</v>
      </c>
    </row>
    <row r="11" spans="1:6" ht="30" customHeight="1">
      <c r="A11" s="1428" t="s">
        <v>976</v>
      </c>
      <c r="B11" s="1429"/>
      <c r="C11" s="1429"/>
      <c r="D11" s="1429"/>
      <c r="E11" s="1430"/>
      <c r="F11" s="296">
        <v>0</v>
      </c>
    </row>
    <row r="12" spans="1:6" ht="30" customHeight="1">
      <c r="A12" s="1403" t="s">
        <v>537</v>
      </c>
      <c r="B12" s="1404"/>
      <c r="C12" s="1404"/>
      <c r="D12" s="1404"/>
      <c r="E12" s="1405"/>
      <c r="F12" s="296">
        <v>0</v>
      </c>
    </row>
    <row r="13" spans="1:6" ht="30" customHeight="1">
      <c r="A13" s="1403" t="s">
        <v>538</v>
      </c>
      <c r="B13" s="1404"/>
      <c r="C13" s="1404"/>
      <c r="D13" s="1404"/>
      <c r="E13" s="1405"/>
      <c r="F13" s="299">
        <v>0</v>
      </c>
    </row>
    <row r="14" spans="1:6" ht="30" customHeight="1">
      <c r="A14" s="1406" t="s">
        <v>539</v>
      </c>
      <c r="B14" s="1407"/>
      <c r="C14" s="1407"/>
      <c r="D14" s="1407"/>
      <c r="E14" s="1408"/>
      <c r="F14" s="300">
        <f>F9-F10-F11+F12+F13</f>
        <v>191893.86000000002</v>
      </c>
    </row>
    <row r="15" spans="1:6" ht="30" customHeight="1">
      <c r="A15" s="1412" t="s">
        <v>540</v>
      </c>
      <c r="B15" s="1413"/>
      <c r="C15" s="1413"/>
      <c r="D15" s="1413"/>
      <c r="E15" s="1413"/>
      <c r="F15" s="1414"/>
    </row>
    <row r="16" spans="1:6" ht="30" customHeight="1">
      <c r="A16" s="1415" t="s">
        <v>694</v>
      </c>
      <c r="B16" s="1416"/>
      <c r="C16" s="1416"/>
      <c r="D16" s="1416"/>
      <c r="E16" s="1417"/>
      <c r="F16" s="299">
        <v>940163.42</v>
      </c>
    </row>
    <row r="17" spans="1:6" ht="30" customHeight="1">
      <c r="A17" s="1418" t="s">
        <v>695</v>
      </c>
      <c r="B17" s="1419"/>
      <c r="C17" s="1419"/>
      <c r="D17" s="1419"/>
      <c r="E17" s="1420"/>
      <c r="F17" s="299">
        <v>0</v>
      </c>
    </row>
    <row r="18" spans="1:6" ht="30" customHeight="1">
      <c r="A18" s="1421" t="s">
        <v>541</v>
      </c>
      <c r="B18" s="1422"/>
      <c r="C18" s="1422"/>
      <c r="D18" s="1422"/>
      <c r="E18" s="1422"/>
      <c r="F18" s="301">
        <f>SUM(F16:F17)</f>
        <v>940163.42</v>
      </c>
    </row>
    <row r="19" spans="1:6" ht="30" customHeight="1">
      <c r="A19" s="1397" t="s">
        <v>542</v>
      </c>
      <c r="B19" s="1398"/>
      <c r="C19" s="1398"/>
      <c r="D19" s="1398"/>
      <c r="E19" s="1398"/>
      <c r="F19" s="1399"/>
    </row>
    <row r="20" spans="1:6" ht="24.75" customHeight="1">
      <c r="A20" s="1400" t="s">
        <v>543</v>
      </c>
      <c r="B20" s="1401"/>
      <c r="C20" s="1401"/>
      <c r="D20" s="1401"/>
      <c r="E20" s="1402"/>
      <c r="F20" s="299"/>
    </row>
    <row r="21" spans="1:6" ht="24.75" customHeight="1">
      <c r="A21" s="1403" t="s">
        <v>544</v>
      </c>
      <c r="B21" s="1404"/>
      <c r="C21" s="1404"/>
      <c r="D21" s="1404"/>
      <c r="E21" s="1405"/>
      <c r="F21" s="299">
        <v>0</v>
      </c>
    </row>
    <row r="22" spans="1:6" ht="24.75" customHeight="1">
      <c r="A22" s="1406" t="s">
        <v>545</v>
      </c>
      <c r="B22" s="1407"/>
      <c r="C22" s="1407"/>
      <c r="D22" s="1407"/>
      <c r="E22" s="1408"/>
      <c r="F22" s="302">
        <f>F20</f>
        <v>0</v>
      </c>
    </row>
    <row r="23" spans="1:6" ht="30" customHeight="1">
      <c r="A23" s="1409" t="s">
        <v>546</v>
      </c>
      <c r="B23" s="1409"/>
      <c r="C23" s="1409"/>
      <c r="D23" s="1409"/>
      <c r="E23" s="1409"/>
      <c r="F23" s="303">
        <f>F10+F22</f>
        <v>30036.84</v>
      </c>
    </row>
    <row r="24" spans="1:6" s="213" customFormat="1" ht="26.25" customHeight="1">
      <c r="A24" s="1410" t="s">
        <v>547</v>
      </c>
      <c r="B24" s="1411"/>
      <c r="C24" s="1411"/>
      <c r="D24" s="1411"/>
      <c r="E24" s="1411"/>
      <c r="F24" s="304">
        <f>(F23)/F7</f>
        <v>0.01353433301476542</v>
      </c>
    </row>
    <row r="25" ht="12.75">
      <c r="A25" s="305"/>
    </row>
    <row r="26" spans="1:11" ht="83.25" customHeight="1">
      <c r="A26" s="1396" t="s">
        <v>548</v>
      </c>
      <c r="B26" s="1396"/>
      <c r="C26" s="1396"/>
      <c r="D26" s="1396"/>
      <c r="E26" s="1396"/>
      <c r="F26" s="1396"/>
      <c r="G26" s="236"/>
      <c r="H26" s="236"/>
      <c r="I26" s="236"/>
      <c r="J26" s="236"/>
      <c r="K26" s="236"/>
    </row>
    <row r="27" ht="21.75" customHeight="1">
      <c r="A27" s="306" t="s">
        <v>549</v>
      </c>
    </row>
  </sheetData>
  <sheetProtection/>
  <mergeCells count="25">
    <mergeCell ref="A1:F1"/>
    <mergeCell ref="A2:F2"/>
    <mergeCell ref="A3:F3"/>
    <mergeCell ref="A4:D4"/>
    <mergeCell ref="A5:E5"/>
    <mergeCell ref="A6:D6"/>
    <mergeCell ref="A7:D7"/>
    <mergeCell ref="A8:F8"/>
    <mergeCell ref="A9:D9"/>
    <mergeCell ref="A10:E10"/>
    <mergeCell ref="A11:E11"/>
    <mergeCell ref="A12:E12"/>
    <mergeCell ref="A13:E13"/>
    <mergeCell ref="A14:E14"/>
    <mergeCell ref="A15:F15"/>
    <mergeCell ref="A16:E16"/>
    <mergeCell ref="A17:E17"/>
    <mergeCell ref="A18:E18"/>
    <mergeCell ref="A26:F26"/>
    <mergeCell ref="A19:F19"/>
    <mergeCell ref="A20:E20"/>
    <mergeCell ref="A21:E21"/>
    <mergeCell ref="A22:E22"/>
    <mergeCell ref="A23:E23"/>
    <mergeCell ref="A24:E2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27"/>
  <sheetViews>
    <sheetView showGridLines="0" zoomScalePageLayoutView="0" workbookViewId="0" topLeftCell="A12">
      <selection activeCell="F17" sqref="F17"/>
    </sheetView>
  </sheetViews>
  <sheetFormatPr defaultColWidth="9.140625" defaultRowHeight="12.75"/>
  <cols>
    <col min="1" max="3" width="9.140625" style="223" customWidth="1"/>
    <col min="4" max="4" width="40.57421875" style="223" customWidth="1"/>
    <col min="5" max="5" width="27.28125" style="223" customWidth="1"/>
    <col min="6" max="6" width="20.7109375" style="293" customWidth="1"/>
    <col min="7" max="16384" width="9.140625" style="223" customWidth="1"/>
  </cols>
  <sheetData>
    <row r="1" spans="1:7" s="294" customFormat="1" ht="17.25">
      <c r="A1" s="1431" t="s">
        <v>529</v>
      </c>
      <c r="B1" s="1431"/>
      <c r="C1" s="1431"/>
      <c r="D1" s="1431"/>
      <c r="E1" s="1431"/>
      <c r="F1" s="1431"/>
      <c r="G1" s="172"/>
    </row>
    <row r="2" spans="1:6" s="81" customFormat="1" ht="42" customHeight="1">
      <c r="A2" s="1432" t="s">
        <v>530</v>
      </c>
      <c r="B2" s="1433"/>
      <c r="C2" s="1433"/>
      <c r="D2" s="1433"/>
      <c r="E2" s="1433"/>
      <c r="F2" s="1434"/>
    </row>
    <row r="3" spans="1:6" ht="30" customHeight="1">
      <c r="A3" s="1435" t="s">
        <v>921</v>
      </c>
      <c r="B3" s="1436"/>
      <c r="C3" s="1436"/>
      <c r="D3" s="1436"/>
      <c r="E3" s="1436"/>
      <c r="F3" s="1437"/>
    </row>
    <row r="4" spans="1:6" ht="30" customHeight="1">
      <c r="A4" s="1418" t="s">
        <v>531</v>
      </c>
      <c r="B4" s="1419"/>
      <c r="C4" s="1419"/>
      <c r="D4" s="1419"/>
      <c r="E4" s="295"/>
      <c r="F4" s="296">
        <f>ENTRATA!N18</f>
        <v>1588711</v>
      </c>
    </row>
    <row r="5" spans="1:6" ht="30" customHeight="1">
      <c r="A5" s="1428" t="s">
        <v>532</v>
      </c>
      <c r="B5" s="1438"/>
      <c r="C5" s="1438"/>
      <c r="D5" s="1438"/>
      <c r="E5" s="1439"/>
      <c r="F5" s="296">
        <f>ENTRATA!N67</f>
        <v>307674</v>
      </c>
    </row>
    <row r="6" spans="1:6" ht="30" customHeight="1">
      <c r="A6" s="1418" t="s">
        <v>533</v>
      </c>
      <c r="B6" s="1419"/>
      <c r="C6" s="1419"/>
      <c r="D6" s="1419"/>
      <c r="E6" s="297"/>
      <c r="F6" s="296">
        <f>ENTRATA!N103</f>
        <v>301420</v>
      </c>
    </row>
    <row r="7" spans="1:6" ht="30" customHeight="1">
      <c r="A7" s="1423" t="s">
        <v>534</v>
      </c>
      <c r="B7" s="1424"/>
      <c r="C7" s="1424"/>
      <c r="D7" s="1424"/>
      <c r="E7" s="295"/>
      <c r="F7" s="298">
        <f>SUM(F4:F6)</f>
        <v>2197805</v>
      </c>
    </row>
    <row r="8" spans="1:6" ht="30" customHeight="1">
      <c r="A8" s="1425" t="s">
        <v>535</v>
      </c>
      <c r="B8" s="1426"/>
      <c r="C8" s="1426"/>
      <c r="D8" s="1426"/>
      <c r="E8" s="1426"/>
      <c r="F8" s="1427"/>
    </row>
    <row r="9" spans="1:6" ht="30" customHeight="1">
      <c r="A9" s="1403" t="s">
        <v>536</v>
      </c>
      <c r="B9" s="1404"/>
      <c r="C9" s="1404"/>
      <c r="D9" s="1404"/>
      <c r="E9" s="295"/>
      <c r="F9" s="296">
        <f>F7*10%</f>
        <v>219780.5</v>
      </c>
    </row>
    <row r="10" spans="1:6" ht="30" customHeight="1">
      <c r="A10" s="1428" t="s">
        <v>922</v>
      </c>
      <c r="B10" s="1429"/>
      <c r="C10" s="1429"/>
      <c r="D10" s="1429"/>
      <c r="E10" s="1430"/>
      <c r="F10" s="296">
        <v>28923.32</v>
      </c>
    </row>
    <row r="11" spans="1:6" ht="30" customHeight="1">
      <c r="A11" s="1428" t="s">
        <v>923</v>
      </c>
      <c r="B11" s="1429"/>
      <c r="C11" s="1429"/>
      <c r="D11" s="1429"/>
      <c r="E11" s="1430"/>
      <c r="F11" s="296">
        <v>0</v>
      </c>
    </row>
    <row r="12" spans="1:6" ht="30" customHeight="1">
      <c r="A12" s="1403" t="s">
        <v>537</v>
      </c>
      <c r="B12" s="1404"/>
      <c r="C12" s="1404"/>
      <c r="D12" s="1404"/>
      <c r="E12" s="1405"/>
      <c r="F12" s="296">
        <v>0</v>
      </c>
    </row>
    <row r="13" spans="1:6" ht="30" customHeight="1">
      <c r="A13" s="1403" t="s">
        <v>538</v>
      </c>
      <c r="B13" s="1404"/>
      <c r="C13" s="1404"/>
      <c r="D13" s="1404"/>
      <c r="E13" s="1405"/>
      <c r="F13" s="299">
        <v>0</v>
      </c>
    </row>
    <row r="14" spans="1:6" ht="30" customHeight="1">
      <c r="A14" s="1406" t="s">
        <v>539</v>
      </c>
      <c r="B14" s="1407"/>
      <c r="C14" s="1407"/>
      <c r="D14" s="1407"/>
      <c r="E14" s="1408"/>
      <c r="F14" s="300">
        <f>F9-F10-F11+F12+F13</f>
        <v>190857.18</v>
      </c>
    </row>
    <row r="15" spans="1:6" ht="30" customHeight="1">
      <c r="A15" s="1412" t="s">
        <v>540</v>
      </c>
      <c r="B15" s="1413"/>
      <c r="C15" s="1413"/>
      <c r="D15" s="1413"/>
      <c r="E15" s="1413"/>
      <c r="F15" s="1414"/>
    </row>
    <row r="16" spans="1:6" ht="30" customHeight="1">
      <c r="A16" s="1415" t="s">
        <v>924</v>
      </c>
      <c r="B16" s="1416"/>
      <c r="C16" s="1416"/>
      <c r="D16" s="1416"/>
      <c r="E16" s="1417"/>
      <c r="F16" s="299">
        <v>814151.49</v>
      </c>
    </row>
    <row r="17" spans="1:6" ht="30" customHeight="1">
      <c r="A17" s="1418" t="s">
        <v>925</v>
      </c>
      <c r="B17" s="1419"/>
      <c r="C17" s="1419"/>
      <c r="D17" s="1419"/>
      <c r="E17" s="1420"/>
      <c r="F17" s="299">
        <v>0</v>
      </c>
    </row>
    <row r="18" spans="1:6" ht="30" customHeight="1">
      <c r="A18" s="1421" t="s">
        <v>541</v>
      </c>
      <c r="B18" s="1422"/>
      <c r="C18" s="1422"/>
      <c r="D18" s="1422"/>
      <c r="E18" s="1422"/>
      <c r="F18" s="301">
        <f>SUM(F16:F17)</f>
        <v>814151.49</v>
      </c>
    </row>
    <row r="19" spans="1:6" ht="30" customHeight="1">
      <c r="A19" s="1397" t="s">
        <v>542</v>
      </c>
      <c r="B19" s="1398"/>
      <c r="C19" s="1398"/>
      <c r="D19" s="1398"/>
      <c r="E19" s="1398"/>
      <c r="F19" s="1399"/>
    </row>
    <row r="20" spans="1:6" ht="24.75" customHeight="1">
      <c r="A20" s="1400" t="s">
        <v>543</v>
      </c>
      <c r="B20" s="1401"/>
      <c r="C20" s="1401"/>
      <c r="D20" s="1401"/>
      <c r="E20" s="1402"/>
      <c r="F20" s="299">
        <v>0</v>
      </c>
    </row>
    <row r="21" spans="1:6" ht="24.75" customHeight="1">
      <c r="A21" s="1403" t="s">
        <v>544</v>
      </c>
      <c r="B21" s="1404"/>
      <c r="C21" s="1404"/>
      <c r="D21" s="1404"/>
      <c r="E21" s="1405"/>
      <c r="F21" s="299">
        <v>0</v>
      </c>
    </row>
    <row r="22" spans="1:6" ht="24.75" customHeight="1">
      <c r="A22" s="1406" t="s">
        <v>545</v>
      </c>
      <c r="B22" s="1407"/>
      <c r="C22" s="1407"/>
      <c r="D22" s="1407"/>
      <c r="E22" s="1408"/>
      <c r="F22" s="302">
        <f>F20</f>
        <v>0</v>
      </c>
    </row>
    <row r="23" spans="1:6" ht="30" customHeight="1">
      <c r="A23" s="1409" t="s">
        <v>546</v>
      </c>
      <c r="B23" s="1409"/>
      <c r="C23" s="1409"/>
      <c r="D23" s="1409"/>
      <c r="E23" s="1409"/>
      <c r="F23" s="303">
        <f>F10+F22</f>
        <v>28923.32</v>
      </c>
    </row>
    <row r="24" spans="1:6" s="213" customFormat="1" ht="26.25" customHeight="1">
      <c r="A24" s="1410" t="s">
        <v>547</v>
      </c>
      <c r="B24" s="1411"/>
      <c r="C24" s="1411"/>
      <c r="D24" s="1411"/>
      <c r="E24" s="1411"/>
      <c r="F24" s="304">
        <f>(F23)/F7</f>
        <v>0.013160093820880379</v>
      </c>
    </row>
    <row r="25" ht="12.75">
      <c r="A25" s="305"/>
    </row>
    <row r="26" spans="1:11" ht="83.25" customHeight="1">
      <c r="A26" s="1396" t="s">
        <v>548</v>
      </c>
      <c r="B26" s="1396"/>
      <c r="C26" s="1396"/>
      <c r="D26" s="1396"/>
      <c r="E26" s="1396"/>
      <c r="F26" s="1396"/>
      <c r="G26" s="236"/>
      <c r="H26" s="236"/>
      <c r="I26" s="236"/>
      <c r="J26" s="236"/>
      <c r="K26" s="236"/>
    </row>
    <row r="27" ht="21.75" customHeight="1">
      <c r="A27" s="306" t="s">
        <v>549</v>
      </c>
    </row>
  </sheetData>
  <sheetProtection/>
  <mergeCells count="25">
    <mergeCell ref="A1:F1"/>
    <mergeCell ref="A2:F2"/>
    <mergeCell ref="A3:F3"/>
    <mergeCell ref="A4:D4"/>
    <mergeCell ref="A5:E5"/>
    <mergeCell ref="A6:D6"/>
    <mergeCell ref="A7:D7"/>
    <mergeCell ref="A8:F8"/>
    <mergeCell ref="A9:D9"/>
    <mergeCell ref="A10:E10"/>
    <mergeCell ref="A11:E11"/>
    <mergeCell ref="A12:E12"/>
    <mergeCell ref="A13:E13"/>
    <mergeCell ref="A14:E14"/>
    <mergeCell ref="A15:F15"/>
    <mergeCell ref="A16:E16"/>
    <mergeCell ref="A17:E17"/>
    <mergeCell ref="A18:E18"/>
    <mergeCell ref="A26:F26"/>
    <mergeCell ref="A19:F19"/>
    <mergeCell ref="A20:E20"/>
    <mergeCell ref="A21:E21"/>
    <mergeCell ref="A22:E22"/>
    <mergeCell ref="A23:E23"/>
    <mergeCell ref="A24:E2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K45"/>
  <sheetViews>
    <sheetView showGridLines="0" zoomScalePageLayoutView="0" workbookViewId="0" topLeftCell="A1">
      <selection activeCell="J6" sqref="J6"/>
    </sheetView>
  </sheetViews>
  <sheetFormatPr defaultColWidth="9.140625" defaultRowHeight="12.75"/>
  <cols>
    <col min="1" max="3" width="9.140625" style="37" customWidth="1"/>
    <col min="4" max="4" width="40.57421875" style="37" customWidth="1"/>
    <col min="5" max="5" width="19.8515625" style="37" customWidth="1"/>
    <col min="6" max="6" width="5.57421875" style="4" customWidth="1"/>
    <col min="7" max="7" width="22.00390625" style="4" customWidth="1"/>
    <col min="8" max="8" width="20.00390625" style="4" customWidth="1"/>
    <col min="9" max="9" width="19.28125" style="4" customWidth="1"/>
    <col min="10" max="10" width="9.140625" style="37" customWidth="1"/>
    <col min="11" max="11" width="11.00390625" style="37" customWidth="1"/>
    <col min="12" max="16384" width="9.140625" style="37" customWidth="1"/>
  </cols>
  <sheetData>
    <row r="1" spans="1:11" ht="21" customHeight="1">
      <c r="A1" s="1454" t="s">
        <v>529</v>
      </c>
      <c r="B1" s="1454"/>
      <c r="C1" s="1454"/>
      <c r="D1" s="1454"/>
      <c r="E1" s="1454"/>
      <c r="F1" s="1454"/>
      <c r="G1" s="1454"/>
      <c r="H1" s="1454"/>
      <c r="I1" s="1454"/>
      <c r="K1" s="328" t="s">
        <v>573</v>
      </c>
    </row>
    <row r="2" ht="15" customHeight="1"/>
    <row r="3" spans="1:9" ht="15" customHeight="1">
      <c r="A3" s="1455" t="s">
        <v>530</v>
      </c>
      <c r="B3" s="1456"/>
      <c r="C3" s="1456"/>
      <c r="D3" s="1456"/>
      <c r="E3" s="1456"/>
      <c r="F3" s="1456"/>
      <c r="G3" s="1456"/>
      <c r="H3" s="1456"/>
      <c r="I3" s="1456"/>
    </row>
    <row r="4" spans="1:8" ht="15" customHeight="1">
      <c r="A4" s="329"/>
      <c r="B4" s="224"/>
      <c r="C4" s="224"/>
      <c r="D4" s="224"/>
      <c r="E4" s="224"/>
      <c r="F4" s="218"/>
      <c r="G4" s="218"/>
      <c r="H4" s="218"/>
    </row>
    <row r="5" spans="1:8" ht="15" customHeight="1" thickBot="1">
      <c r="A5" s="329"/>
      <c r="B5" s="224"/>
      <c r="C5" s="224"/>
      <c r="D5" s="224"/>
      <c r="E5" s="224"/>
      <c r="F5" s="218"/>
      <c r="G5" s="218"/>
      <c r="H5" s="218"/>
    </row>
    <row r="6" spans="1:9" ht="45.75" customHeight="1" thickTop="1">
      <c r="A6" s="1457" t="s">
        <v>574</v>
      </c>
      <c r="B6" s="1436"/>
      <c r="C6" s="1436"/>
      <c r="D6" s="1436"/>
      <c r="E6" s="1436"/>
      <c r="F6" s="1436"/>
      <c r="G6" s="313" t="s">
        <v>628</v>
      </c>
      <c r="H6" s="313" t="s">
        <v>691</v>
      </c>
      <c r="I6" s="314" t="s">
        <v>913</v>
      </c>
    </row>
    <row r="7" spans="1:9" ht="15" customHeight="1">
      <c r="A7" s="329"/>
      <c r="B7" s="224"/>
      <c r="C7" s="224"/>
      <c r="D7" s="224"/>
      <c r="E7" s="44"/>
      <c r="F7" s="40"/>
      <c r="G7" s="17"/>
      <c r="H7" s="40"/>
      <c r="I7" s="330"/>
    </row>
    <row r="8" spans="1:9" ht="15" customHeight="1">
      <c r="A8" s="331" t="s">
        <v>531</v>
      </c>
      <c r="B8" s="295"/>
      <c r="C8" s="295"/>
      <c r="D8" s="295"/>
      <c r="E8" s="44"/>
      <c r="F8" s="332" t="s">
        <v>374</v>
      </c>
      <c r="G8" s="64">
        <f>'INDEBITAMENTO 2022'!F4</f>
        <v>1853420.45</v>
      </c>
      <c r="H8" s="14">
        <f>'INDEBITAMENTO 2023'!F4</f>
        <v>1610213</v>
      </c>
      <c r="I8" s="14">
        <f>'INDEBITAMENTO 2024'!F4</f>
        <v>1588711</v>
      </c>
    </row>
    <row r="9" spans="1:9" ht="14.25" customHeight="1">
      <c r="A9" s="1403" t="s">
        <v>532</v>
      </c>
      <c r="B9" s="1404"/>
      <c r="C9" s="1404"/>
      <c r="D9" s="1404"/>
      <c r="E9" s="44"/>
      <c r="F9" s="125"/>
      <c r="G9" s="64"/>
      <c r="H9" s="14"/>
      <c r="I9" s="333"/>
    </row>
    <row r="10" spans="1:9" ht="15" customHeight="1">
      <c r="A10" s="1403"/>
      <c r="B10" s="1404"/>
      <c r="C10" s="1404"/>
      <c r="D10" s="1404"/>
      <c r="E10" s="334"/>
      <c r="F10" s="332" t="s">
        <v>374</v>
      </c>
      <c r="G10" s="64">
        <f>'INDEBITAMENTO 2022'!F5</f>
        <v>479875.34</v>
      </c>
      <c r="H10" s="14">
        <f>'INDEBITAMENTO 2023'!F5</f>
        <v>307674</v>
      </c>
      <c r="I10" s="14">
        <f>'INDEBITAMENTO 2024'!F5</f>
        <v>307674</v>
      </c>
    </row>
    <row r="11" spans="1:9" ht="15" customHeight="1">
      <c r="A11" s="308"/>
      <c r="B11" s="309"/>
      <c r="C11" s="309"/>
      <c r="D11" s="309"/>
      <c r="E11" s="334"/>
      <c r="F11" s="335"/>
      <c r="G11" s="64"/>
      <c r="H11" s="14"/>
      <c r="I11" s="333"/>
    </row>
    <row r="12" spans="1:9" ht="15" customHeight="1">
      <c r="A12" s="331" t="s">
        <v>533</v>
      </c>
      <c r="B12" s="295"/>
      <c r="C12" s="295"/>
      <c r="D12" s="295"/>
      <c r="E12" s="334"/>
      <c r="F12" s="332" t="s">
        <v>374</v>
      </c>
      <c r="G12" s="64">
        <f>'INDEBITAMENTO 2022'!F6</f>
        <v>204863.12</v>
      </c>
      <c r="H12" s="14">
        <f>'INDEBITAMENTO 2023'!F6</f>
        <v>301420</v>
      </c>
      <c r="I12" s="14">
        <f>'INDEBITAMENTO 2024'!F6</f>
        <v>301420</v>
      </c>
    </row>
    <row r="13" spans="1:9" ht="15" customHeight="1">
      <c r="A13" s="336"/>
      <c r="B13" s="337"/>
      <c r="C13" s="337"/>
      <c r="D13" s="337"/>
      <c r="E13" s="338"/>
      <c r="F13" s="339"/>
      <c r="G13" s="64"/>
      <c r="H13" s="14"/>
      <c r="I13" s="340"/>
    </row>
    <row r="14" spans="1:9" ht="15" customHeight="1">
      <c r="A14" s="329" t="s">
        <v>534</v>
      </c>
      <c r="B14" s="224"/>
      <c r="C14" s="224"/>
      <c r="D14" s="224"/>
      <c r="E14" s="44"/>
      <c r="F14" s="125"/>
      <c r="G14" s="341">
        <f>+G12+G10+G8</f>
        <v>2538158.91</v>
      </c>
      <c r="H14" s="342">
        <f>+H12+H10+H8</f>
        <v>2219307</v>
      </c>
      <c r="I14" s="342">
        <f>+I12+I10+I8</f>
        <v>2197805</v>
      </c>
    </row>
    <row r="15" spans="1:9" ht="15" customHeight="1">
      <c r="A15" s="343"/>
      <c r="B15" s="44"/>
      <c r="C15" s="44"/>
      <c r="D15" s="44"/>
      <c r="E15" s="44"/>
      <c r="F15" s="344"/>
      <c r="G15" s="17"/>
      <c r="H15" s="125"/>
      <c r="I15" s="345"/>
    </row>
    <row r="16" spans="1:9" ht="15" customHeight="1">
      <c r="A16" s="315" t="s">
        <v>535</v>
      </c>
      <c r="B16" s="316"/>
      <c r="C16" s="316"/>
      <c r="D16" s="316"/>
      <c r="E16" s="316"/>
      <c r="F16" s="317"/>
      <c r="G16" s="317"/>
      <c r="H16" s="318"/>
      <c r="I16" s="319"/>
    </row>
    <row r="17" spans="1:9" ht="15" customHeight="1">
      <c r="A17" s="343"/>
      <c r="B17" s="44"/>
      <c r="C17" s="44"/>
      <c r="D17" s="44"/>
      <c r="E17" s="44"/>
      <c r="F17" s="40"/>
      <c r="G17" s="17"/>
      <c r="H17" s="125"/>
      <c r="I17" s="346"/>
    </row>
    <row r="18" spans="1:9" ht="15" customHeight="1">
      <c r="A18" s="1441" t="s">
        <v>575</v>
      </c>
      <c r="B18" s="1442"/>
      <c r="C18" s="1442"/>
      <c r="D18" s="1442"/>
      <c r="E18" s="1443"/>
      <c r="F18" s="332" t="s">
        <v>374</v>
      </c>
      <c r="G18" s="14">
        <f>+G14*10/100</f>
        <v>253815.891</v>
      </c>
      <c r="H18" s="14">
        <f>+H14*10/100</f>
        <v>221930.7</v>
      </c>
      <c r="I18" s="14">
        <f>+I14*10/100</f>
        <v>219780.5</v>
      </c>
    </row>
    <row r="19" spans="1:9" ht="15" customHeight="1">
      <c r="A19" s="343"/>
      <c r="B19" s="44"/>
      <c r="C19" s="44"/>
      <c r="D19" s="44"/>
      <c r="E19" s="44"/>
      <c r="F19" s="125"/>
      <c r="G19" s="64"/>
      <c r="H19" s="14"/>
      <c r="I19" s="340"/>
    </row>
    <row r="20" spans="1:9" ht="32.25" customHeight="1">
      <c r="A20" s="1403" t="s">
        <v>926</v>
      </c>
      <c r="B20" s="1442"/>
      <c r="C20" s="1442"/>
      <c r="D20" s="1442"/>
      <c r="E20" s="1443"/>
      <c r="F20" s="332" t="s">
        <v>376</v>
      </c>
      <c r="G20" s="64">
        <f>'INDEBITAMENTO 2022'!F10</f>
        <v>34053.09</v>
      </c>
      <c r="H20" s="14">
        <f>'INDEBITAMENTO 2023'!F10</f>
        <v>30036.84</v>
      </c>
      <c r="I20" s="14">
        <f>'INDEBITAMENTO 2024'!F10</f>
        <v>28923.32</v>
      </c>
    </row>
    <row r="21" spans="1:9" ht="15" customHeight="1">
      <c r="A21" s="349"/>
      <c r="B21" s="221"/>
      <c r="C21" s="221"/>
      <c r="D21" s="221"/>
      <c r="E21" s="44"/>
      <c r="F21" s="125"/>
      <c r="G21" s="64"/>
      <c r="H21" s="14"/>
      <c r="I21" s="350"/>
    </row>
    <row r="22" spans="1:11" ht="32.25" customHeight="1">
      <c r="A22" s="1441" t="s">
        <v>576</v>
      </c>
      <c r="B22" s="1442"/>
      <c r="C22" s="1442"/>
      <c r="D22" s="1442"/>
      <c r="E22" s="1443"/>
      <c r="F22" s="332" t="s">
        <v>376</v>
      </c>
      <c r="G22" s="64">
        <v>0</v>
      </c>
      <c r="H22" s="14">
        <f>'INDEBITAMENTO 2023'!F11</f>
        <v>0</v>
      </c>
      <c r="I22" s="14">
        <v>0</v>
      </c>
      <c r="J22" s="351"/>
      <c r="K22" s="44"/>
    </row>
    <row r="23" spans="1:9" ht="15" customHeight="1">
      <c r="A23" s="343"/>
      <c r="B23" s="44"/>
      <c r="C23" s="44"/>
      <c r="D23" s="44"/>
      <c r="E23" s="44"/>
      <c r="F23" s="125"/>
      <c r="G23" s="64"/>
      <c r="H23" s="14"/>
      <c r="I23" s="340"/>
    </row>
    <row r="24" spans="1:9" ht="32.25" customHeight="1">
      <c r="A24" s="1441" t="s">
        <v>577</v>
      </c>
      <c r="B24" s="1442"/>
      <c r="C24" s="1442"/>
      <c r="D24" s="1442"/>
      <c r="E24" s="1443"/>
      <c r="F24" s="332" t="s">
        <v>374</v>
      </c>
      <c r="G24" s="64">
        <v>0</v>
      </c>
      <c r="H24" s="14">
        <v>0</v>
      </c>
      <c r="I24" s="14">
        <v>0</v>
      </c>
    </row>
    <row r="25" spans="1:9" ht="15" customHeight="1">
      <c r="A25" s="347"/>
      <c r="B25" s="348"/>
      <c r="C25" s="348"/>
      <c r="D25" s="348"/>
      <c r="E25" s="348"/>
      <c r="F25" s="352"/>
      <c r="G25" s="353"/>
      <c r="H25" s="354"/>
      <c r="I25" s="350"/>
    </row>
    <row r="26" spans="1:9" ht="15" customHeight="1">
      <c r="A26" s="1441" t="s">
        <v>538</v>
      </c>
      <c r="B26" s="1442"/>
      <c r="C26" s="1442"/>
      <c r="D26" s="1442"/>
      <c r="E26" s="1443"/>
      <c r="F26" s="332" t="s">
        <v>374</v>
      </c>
      <c r="G26" s="64">
        <v>0</v>
      </c>
      <c r="H26" s="14">
        <v>0</v>
      </c>
      <c r="I26" s="14">
        <v>0</v>
      </c>
    </row>
    <row r="27" spans="1:9" ht="15" customHeight="1">
      <c r="A27" s="347"/>
      <c r="B27" s="348"/>
      <c r="C27" s="348"/>
      <c r="D27" s="348"/>
      <c r="E27" s="348"/>
      <c r="F27" s="352"/>
      <c r="G27" s="353"/>
      <c r="H27" s="354"/>
      <c r="I27" s="333"/>
    </row>
    <row r="28" spans="1:9" ht="15" customHeight="1">
      <c r="A28" s="1441" t="s">
        <v>539</v>
      </c>
      <c r="B28" s="1442"/>
      <c r="C28" s="1442"/>
      <c r="D28" s="1442"/>
      <c r="E28" s="1443"/>
      <c r="F28" s="125"/>
      <c r="G28" s="14">
        <f>+G18-G20-G22+G24+G26</f>
        <v>219762.801</v>
      </c>
      <c r="H28" s="14">
        <f>+H18-H20-H22+H24+H26</f>
        <v>191893.86000000002</v>
      </c>
      <c r="I28" s="14">
        <f>+I18-I20-I22+I24+I26</f>
        <v>190857.18</v>
      </c>
    </row>
    <row r="29" spans="1:9" ht="15" customHeight="1">
      <c r="A29" s="343"/>
      <c r="B29" s="44"/>
      <c r="C29" s="44"/>
      <c r="D29" s="44"/>
      <c r="E29" s="44"/>
      <c r="F29" s="344"/>
      <c r="G29" s="64"/>
      <c r="H29" s="14"/>
      <c r="I29" s="355"/>
    </row>
    <row r="30" spans="1:9" ht="15" customHeight="1">
      <c r="A30" s="1449" t="s">
        <v>540</v>
      </c>
      <c r="B30" s="1450"/>
      <c r="C30" s="1450"/>
      <c r="D30" s="1450"/>
      <c r="E30" s="1450"/>
      <c r="F30" s="320"/>
      <c r="G30" s="320"/>
      <c r="H30" s="321"/>
      <c r="I30" s="322"/>
    </row>
    <row r="31" spans="1:9" ht="15" customHeight="1">
      <c r="A31" s="343"/>
      <c r="B31" s="44"/>
      <c r="C31" s="44"/>
      <c r="D31" s="44"/>
      <c r="E31" s="44"/>
      <c r="F31" s="40"/>
      <c r="G31" s="17"/>
      <c r="H31" s="125"/>
      <c r="I31" s="346"/>
    </row>
    <row r="32" spans="1:9" ht="15" customHeight="1">
      <c r="A32" s="1418" t="s">
        <v>578</v>
      </c>
      <c r="B32" s="1419"/>
      <c r="C32" s="1419"/>
      <c r="D32" s="1419"/>
      <c r="E32" s="44"/>
      <c r="F32" s="332" t="s">
        <v>374</v>
      </c>
      <c r="G32" s="64">
        <f>'INDEBITAMENTO 2022'!F16</f>
        <v>925669.6</v>
      </c>
      <c r="H32" s="14">
        <f>'INDEBITAMENTO 2023'!F16</f>
        <v>940163.42</v>
      </c>
      <c r="I32" s="14">
        <f>'INDEBITAMENTO 2024'!F16</f>
        <v>814151.49</v>
      </c>
    </row>
    <row r="33" spans="1:9" ht="15" customHeight="1">
      <c r="A33" s="343"/>
      <c r="B33" s="44"/>
      <c r="C33" s="44"/>
      <c r="D33" s="44"/>
      <c r="E33" s="44"/>
      <c r="F33" s="125"/>
      <c r="G33" s="64"/>
      <c r="H33" s="14"/>
      <c r="I33" s="340"/>
    </row>
    <row r="34" spans="1:9" ht="15" customHeight="1">
      <c r="A34" s="1447" t="s">
        <v>579</v>
      </c>
      <c r="B34" s="1448"/>
      <c r="C34" s="1448"/>
      <c r="D34" s="1448"/>
      <c r="E34" s="44"/>
      <c r="F34" s="332" t="s">
        <v>374</v>
      </c>
      <c r="G34" s="64">
        <f>'INDEBITAMENTO 2022'!F17</f>
        <v>150000</v>
      </c>
      <c r="H34" s="14">
        <v>0</v>
      </c>
      <c r="I34" s="14">
        <v>0</v>
      </c>
    </row>
    <row r="35" spans="1:9" ht="15" customHeight="1">
      <c r="A35" s="343"/>
      <c r="B35" s="44"/>
      <c r="C35" s="44"/>
      <c r="D35" s="44"/>
      <c r="E35" s="44"/>
      <c r="F35" s="125"/>
      <c r="G35" s="64"/>
      <c r="H35" s="14"/>
      <c r="I35" s="340"/>
    </row>
    <row r="36" spans="1:9" ht="15" customHeight="1">
      <c r="A36" s="1445" t="s">
        <v>541</v>
      </c>
      <c r="B36" s="1446"/>
      <c r="C36" s="1446"/>
      <c r="D36" s="1446"/>
      <c r="E36" s="222"/>
      <c r="F36" s="307"/>
      <c r="G36" s="362">
        <f>+G34+G32</f>
        <v>1075669.6</v>
      </c>
      <c r="H36" s="362">
        <f>+H34+H32</f>
        <v>940163.42</v>
      </c>
      <c r="I36" s="362">
        <f>+I34+I32</f>
        <v>814151.49</v>
      </c>
    </row>
    <row r="37" spans="1:9" ht="15" customHeight="1">
      <c r="A37" s="356"/>
      <c r="B37" s="357"/>
      <c r="C37" s="357"/>
      <c r="D37" s="357"/>
      <c r="E37" s="357"/>
      <c r="F37" s="344"/>
      <c r="G37" s="61"/>
      <c r="H37" s="363"/>
      <c r="I37" s="355"/>
    </row>
    <row r="38" spans="1:9" ht="15" customHeight="1">
      <c r="A38" s="323" t="s">
        <v>542</v>
      </c>
      <c r="B38" s="324"/>
      <c r="C38" s="324"/>
      <c r="D38" s="324"/>
      <c r="E38" s="324"/>
      <c r="F38" s="325"/>
      <c r="G38" s="325"/>
      <c r="H38" s="326"/>
      <c r="I38" s="327"/>
    </row>
    <row r="39" spans="1:9" ht="36.75" customHeight="1">
      <c r="A39" s="1451" t="s">
        <v>543</v>
      </c>
      <c r="B39" s="1452"/>
      <c r="C39" s="1452"/>
      <c r="D39" s="1452"/>
      <c r="E39" s="1453"/>
      <c r="F39" s="358"/>
      <c r="G39" s="64">
        <v>0</v>
      </c>
      <c r="H39" s="14">
        <v>0</v>
      </c>
      <c r="I39" s="14">
        <v>0</v>
      </c>
    </row>
    <row r="40" spans="1:9" ht="23.25" customHeight="1">
      <c r="A40" s="1441" t="s">
        <v>580</v>
      </c>
      <c r="B40" s="1442"/>
      <c r="C40" s="1442"/>
      <c r="D40" s="1442"/>
      <c r="E40" s="1443"/>
      <c r="F40" s="359"/>
      <c r="G40" s="64">
        <v>0</v>
      </c>
      <c r="H40" s="14">
        <v>0</v>
      </c>
      <c r="I40" s="14">
        <v>0</v>
      </c>
    </row>
    <row r="41" spans="1:9" ht="22.5" customHeight="1">
      <c r="A41" s="1441" t="s">
        <v>545</v>
      </c>
      <c r="B41" s="1442"/>
      <c r="C41" s="1442"/>
      <c r="D41" s="1442"/>
      <c r="E41" s="1443"/>
      <c r="F41" s="359"/>
      <c r="G41" s="64">
        <v>0</v>
      </c>
      <c r="H41" s="14">
        <v>0</v>
      </c>
      <c r="I41" s="14">
        <v>0</v>
      </c>
    </row>
    <row r="42" spans="1:9" ht="15" customHeight="1">
      <c r="A42" s="356"/>
      <c r="B42" s="357"/>
      <c r="C42" s="357"/>
      <c r="D42" s="357"/>
      <c r="E42" s="357"/>
      <c r="F42" s="344"/>
      <c r="G42" s="52"/>
      <c r="H42" s="344"/>
      <c r="I42" s="360"/>
    </row>
    <row r="43" ht="15" customHeight="1">
      <c r="A43" s="361"/>
    </row>
    <row r="44" spans="1:10" ht="70.5" customHeight="1">
      <c r="A44" s="1444" t="s">
        <v>581</v>
      </c>
      <c r="B44" s="1444"/>
      <c r="C44" s="1444"/>
      <c r="D44" s="1444"/>
      <c r="E44" s="1444"/>
      <c r="F44" s="1444"/>
      <c r="G44" s="1444"/>
      <c r="H44" s="1444"/>
      <c r="I44" s="1444"/>
      <c r="J44" s="220"/>
    </row>
    <row r="45" spans="1:9" ht="15" customHeight="1">
      <c r="A45" s="1440" t="s">
        <v>549</v>
      </c>
      <c r="B45" s="1440"/>
      <c r="C45" s="1440"/>
      <c r="D45" s="1440"/>
      <c r="E45" s="1440"/>
      <c r="F45" s="1440"/>
      <c r="G45" s="1440"/>
      <c r="H45" s="1440"/>
      <c r="I45" s="1440"/>
    </row>
  </sheetData>
  <sheetProtection/>
  <mergeCells count="19">
    <mergeCell ref="A1:I1"/>
    <mergeCell ref="A3:I3"/>
    <mergeCell ref="A6:F6"/>
    <mergeCell ref="A9:D10"/>
    <mergeCell ref="A18:E18"/>
    <mergeCell ref="A20:E20"/>
    <mergeCell ref="A22:E22"/>
    <mergeCell ref="A24:E24"/>
    <mergeCell ref="A26:E26"/>
    <mergeCell ref="A28:E28"/>
    <mergeCell ref="A30:E30"/>
    <mergeCell ref="A39:E39"/>
    <mergeCell ref="A45:I45"/>
    <mergeCell ref="A40:E40"/>
    <mergeCell ref="A41:E41"/>
    <mergeCell ref="A44:I44"/>
    <mergeCell ref="A36:D36"/>
    <mergeCell ref="A32:D32"/>
    <mergeCell ref="A34:D3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Z503"/>
  <sheetViews>
    <sheetView showGridLines="0" tabSelected="1" zoomScale="60" zoomScaleNormal="60" zoomScaleSheetLayoutView="70" zoomScalePageLayoutView="0" workbookViewId="0" topLeftCell="A1">
      <pane ySplit="5" topLeftCell="A393" activePane="bottomLeft" state="frozen"/>
      <selection pane="topLeft" activeCell="A1" sqref="A1"/>
      <selection pane="bottomLeft" activeCell="T399" sqref="T399"/>
    </sheetView>
  </sheetViews>
  <sheetFormatPr defaultColWidth="9.140625" defaultRowHeight="12.75"/>
  <cols>
    <col min="1" max="1" width="10.7109375" style="566" customWidth="1"/>
    <col min="2" max="2" width="11.57421875" style="566" customWidth="1"/>
    <col min="3" max="3" width="8.140625" style="566" customWidth="1"/>
    <col min="4" max="4" width="9.7109375" style="566" customWidth="1"/>
    <col min="5" max="5" width="11.7109375" style="567" customWidth="1"/>
    <col min="6" max="6" width="16.28125" style="568" customWidth="1"/>
    <col min="7" max="7" width="60.140625" style="476" customWidth="1"/>
    <col min="8" max="8" width="17.8515625" style="476" customWidth="1"/>
    <col min="9" max="11" width="17.57421875" style="476" customWidth="1"/>
    <col min="12" max="12" width="18.7109375" style="603" customWidth="1"/>
    <col min="13" max="13" width="16.140625" style="603" customWidth="1"/>
    <col min="14" max="14" width="18.8515625" style="603" customWidth="1"/>
    <col min="15" max="15" width="16.57421875" style="476" customWidth="1"/>
    <col min="16" max="16" width="18.8515625" style="476" customWidth="1"/>
    <col min="17" max="17" width="13.140625" style="476" hidden="1" customWidth="1"/>
    <col min="18" max="18" width="19.140625" style="476" customWidth="1"/>
    <col min="19" max="19" width="15.7109375" style="476" hidden="1" customWidth="1"/>
    <col min="20" max="20" width="17.8515625" style="603" customWidth="1"/>
    <col min="21" max="21" width="3.00390625" style="476" customWidth="1"/>
    <col min="22" max="22" width="13.28125" style="477" customWidth="1"/>
    <col min="23" max="23" width="9.140625" style="476" customWidth="1"/>
    <col min="24" max="24" width="20.00390625" style="603" bestFit="1" customWidth="1"/>
    <col min="25" max="25" width="9.140625" style="603" customWidth="1"/>
    <col min="26" max="26" width="23.28125" style="603" customWidth="1"/>
    <col min="27" max="16384" width="9.140625" style="476" customWidth="1"/>
  </cols>
  <sheetData>
    <row r="1" spans="1:22" s="603" customFormat="1" ht="27" customHeight="1">
      <c r="A1" s="1298" t="str">
        <f>ENTRATA!A1</f>
        <v>COMUNE DI MONTEGALDA</v>
      </c>
      <c r="B1" s="1298"/>
      <c r="C1" s="1298"/>
      <c r="D1" s="1298"/>
      <c r="E1" s="1298"/>
      <c r="F1" s="1298"/>
      <c r="G1" s="1298"/>
      <c r="H1" s="1298"/>
      <c r="I1" s="1298"/>
      <c r="J1" s="1298"/>
      <c r="K1" s="1298"/>
      <c r="L1" s="1298"/>
      <c r="M1" s="734"/>
      <c r="V1" s="750"/>
    </row>
    <row r="2" spans="1:22" s="617" customFormat="1" ht="34.5" customHeight="1">
      <c r="A2" s="1299" t="str">
        <f>ENTRATA!A2</f>
        <v>BILANCIO DI PREVISIONE 2023 - 2025</v>
      </c>
      <c r="B2" s="1299"/>
      <c r="C2" s="1299"/>
      <c r="D2" s="1299"/>
      <c r="E2" s="1299"/>
      <c r="F2" s="1299"/>
      <c r="G2" s="1299"/>
      <c r="H2" s="1299"/>
      <c r="I2" s="1299"/>
      <c r="J2" s="1299"/>
      <c r="K2" s="1299"/>
      <c r="L2" s="1299"/>
      <c r="M2" s="699"/>
      <c r="V2" s="750"/>
    </row>
    <row r="3" spans="1:22" s="617" customFormat="1" ht="24" customHeight="1" thickBot="1">
      <c r="A3" s="1300" t="s">
        <v>146</v>
      </c>
      <c r="B3" s="1300"/>
      <c r="C3" s="1300"/>
      <c r="D3" s="572"/>
      <c r="E3" s="572"/>
      <c r="F3" s="751"/>
      <c r="G3" s="572"/>
      <c r="H3" s="572"/>
      <c r="I3" s="572"/>
      <c r="J3" s="572"/>
      <c r="K3" s="572"/>
      <c r="L3" s="572"/>
      <c r="M3" s="572"/>
      <c r="V3" s="750"/>
    </row>
    <row r="4" spans="1:22" s="617" customFormat="1" ht="34.5" customHeight="1" thickBot="1">
      <c r="A4" s="1301" t="s">
        <v>28</v>
      </c>
      <c r="B4" s="1302"/>
      <c r="C4" s="1302"/>
      <c r="D4" s="1302"/>
      <c r="E4" s="1302"/>
      <c r="F4" s="1302"/>
      <c r="G4" s="1302"/>
      <c r="H4" s="1302"/>
      <c r="I4" s="1302"/>
      <c r="J4" s="1302"/>
      <c r="K4" s="1302"/>
      <c r="L4" s="1302"/>
      <c r="M4" s="1302"/>
      <c r="N4" s="1302"/>
      <c r="O4" s="1302"/>
      <c r="P4" s="1302"/>
      <c r="Q4" s="1302"/>
      <c r="R4" s="1302"/>
      <c r="S4" s="1302"/>
      <c r="T4" s="667" t="s">
        <v>208</v>
      </c>
      <c r="V4" s="750"/>
    </row>
    <row r="5" spans="1:22" s="685" customFormat="1" ht="69" customHeight="1" thickBot="1">
      <c r="A5" s="752" t="s">
        <v>79</v>
      </c>
      <c r="B5" s="753" t="s">
        <v>80</v>
      </c>
      <c r="C5" s="754" t="s">
        <v>9</v>
      </c>
      <c r="D5" s="753" t="s">
        <v>456</v>
      </c>
      <c r="E5" s="754" t="s">
        <v>188</v>
      </c>
      <c r="F5" s="754" t="s">
        <v>431</v>
      </c>
      <c r="G5" s="753" t="s">
        <v>133</v>
      </c>
      <c r="H5" s="573" t="s">
        <v>1153</v>
      </c>
      <c r="I5" s="573" t="s">
        <v>1111</v>
      </c>
      <c r="J5" s="1206" t="s">
        <v>1160</v>
      </c>
      <c r="K5" s="1206" t="s">
        <v>1140</v>
      </c>
      <c r="L5" s="1206" t="s">
        <v>1154</v>
      </c>
      <c r="M5" s="1232" t="s">
        <v>1001</v>
      </c>
      <c r="N5" s="573" t="s">
        <v>687</v>
      </c>
      <c r="O5" s="1226" t="s">
        <v>1145</v>
      </c>
      <c r="P5" s="701" t="s">
        <v>912</v>
      </c>
      <c r="Q5" s="701" t="s">
        <v>966</v>
      </c>
      <c r="R5" s="701" t="s">
        <v>992</v>
      </c>
      <c r="S5" s="701" t="s">
        <v>966</v>
      </c>
      <c r="T5" s="698" t="s">
        <v>1056</v>
      </c>
      <c r="V5" s="755" t="s">
        <v>994</v>
      </c>
    </row>
    <row r="6" spans="1:22" s="686" customFormat="1" ht="21" customHeight="1" thickBot="1">
      <c r="A6" s="1262" t="s">
        <v>30</v>
      </c>
      <c r="B6" s="1263"/>
      <c r="C6" s="1263"/>
      <c r="D6" s="1263"/>
      <c r="E6" s="1263"/>
      <c r="F6" s="1263"/>
      <c r="G6" s="1264"/>
      <c r="H6" s="1279"/>
      <c r="I6" s="1280"/>
      <c r="J6" s="1280"/>
      <c r="K6" s="1280"/>
      <c r="L6" s="1280"/>
      <c r="M6" s="1280"/>
      <c r="N6" s="1280"/>
      <c r="O6" s="1280"/>
      <c r="P6" s="1280"/>
      <c r="Q6" s="1280"/>
      <c r="R6" s="1280"/>
      <c r="S6" s="1280"/>
      <c r="T6" s="1280"/>
      <c r="V6" s="1205"/>
    </row>
    <row r="7" spans="1:22" s="617" customFormat="1" ht="27.75" customHeight="1">
      <c r="A7" s="756">
        <v>1</v>
      </c>
      <c r="B7" s="757">
        <v>1</v>
      </c>
      <c r="C7" s="757">
        <v>1</v>
      </c>
      <c r="D7" s="1100">
        <v>3</v>
      </c>
      <c r="E7" s="740">
        <v>101</v>
      </c>
      <c r="F7" s="740" t="s">
        <v>96</v>
      </c>
      <c r="G7" s="759" t="s">
        <v>415</v>
      </c>
      <c r="H7" s="579"/>
      <c r="I7" s="579"/>
      <c r="J7" s="579"/>
      <c r="K7" s="579"/>
      <c r="L7" s="574"/>
      <c r="M7" s="574"/>
      <c r="N7" s="579"/>
      <c r="O7" s="738"/>
      <c r="P7" s="738"/>
      <c r="Q7" s="623"/>
      <c r="R7" s="589"/>
      <c r="S7" s="624"/>
      <c r="T7" s="669">
        <f>H7+N7</f>
        <v>0</v>
      </c>
      <c r="V7" s="630">
        <f>IF(T7&gt;(H7+N7),"ERRORE","")</f>
      </c>
    </row>
    <row r="8" spans="1:22" s="617" customFormat="1" ht="27.75" customHeight="1">
      <c r="A8" s="756">
        <v>1</v>
      </c>
      <c r="B8" s="757">
        <v>1</v>
      </c>
      <c r="C8" s="757">
        <v>1</v>
      </c>
      <c r="D8" s="1100">
        <v>4</v>
      </c>
      <c r="E8" s="740">
        <v>101</v>
      </c>
      <c r="F8" s="741" t="s">
        <v>97</v>
      </c>
      <c r="G8" s="760" t="s">
        <v>414</v>
      </c>
      <c r="H8" s="579"/>
      <c r="I8" s="579"/>
      <c r="J8" s="579"/>
      <c r="K8" s="579"/>
      <c r="L8" s="574"/>
      <c r="M8" s="574"/>
      <c r="N8" s="579"/>
      <c r="O8" s="738"/>
      <c r="P8" s="738"/>
      <c r="Q8" s="738"/>
      <c r="R8" s="579"/>
      <c r="S8" s="624"/>
      <c r="T8" s="625">
        <f aca="true" t="shared" si="0" ref="T8:T19">H8+N8</f>
        <v>0</v>
      </c>
      <c r="V8" s="630">
        <f aca="true" t="shared" si="1" ref="V8:V71">IF(T8&gt;(H8+N8),"ERRORE","")</f>
      </c>
    </row>
    <row r="9" spans="1:22" s="617" customFormat="1" ht="27.75" customHeight="1">
      <c r="A9" s="761">
        <v>1</v>
      </c>
      <c r="B9" s="762">
        <v>1</v>
      </c>
      <c r="C9" s="762">
        <v>1</v>
      </c>
      <c r="D9" s="1101">
        <v>5</v>
      </c>
      <c r="E9" s="666">
        <v>103</v>
      </c>
      <c r="F9" s="741" t="s">
        <v>101</v>
      </c>
      <c r="G9" s="765" t="s">
        <v>95</v>
      </c>
      <c r="H9" s="575">
        <v>713</v>
      </c>
      <c r="I9" s="575">
        <v>1000</v>
      </c>
      <c r="J9" s="575">
        <v>996.6</v>
      </c>
      <c r="K9" s="575">
        <f>L9-J9</f>
        <v>3.3999999999999773</v>
      </c>
      <c r="L9" s="575">
        <v>1000</v>
      </c>
      <c r="M9" s="575"/>
      <c r="N9" s="618">
        <v>1000</v>
      </c>
      <c r="O9" s="618">
        <f>N9-I9</f>
        <v>0</v>
      </c>
      <c r="P9" s="576">
        <v>1000</v>
      </c>
      <c r="Q9" s="618"/>
      <c r="R9" s="576">
        <v>1000</v>
      </c>
      <c r="S9" s="621"/>
      <c r="T9" s="1480">
        <f t="shared" si="0"/>
        <v>1713</v>
      </c>
      <c r="V9" s="630">
        <f t="shared" si="1"/>
      </c>
    </row>
    <row r="10" spans="1:22" s="617" customFormat="1" ht="27.75" customHeight="1">
      <c r="A10" s="761">
        <v>1</v>
      </c>
      <c r="B10" s="762">
        <v>1</v>
      </c>
      <c r="C10" s="762">
        <v>1</v>
      </c>
      <c r="D10" s="1101">
        <v>9</v>
      </c>
      <c r="E10" s="666">
        <v>103</v>
      </c>
      <c r="F10" s="741" t="s">
        <v>100</v>
      </c>
      <c r="G10" s="765" t="s">
        <v>1002</v>
      </c>
      <c r="H10" s="575"/>
      <c r="I10" s="575"/>
      <c r="J10" s="575">
        <v>1861.39</v>
      </c>
      <c r="K10" s="575">
        <f aca="true" t="shared" si="2" ref="K10:K19">L10-J10</f>
        <v>3138.6099999999997</v>
      </c>
      <c r="L10" s="575">
        <v>5000</v>
      </c>
      <c r="M10" s="575"/>
      <c r="N10" s="618">
        <v>5000</v>
      </c>
      <c r="O10" s="618">
        <f>N10-I10</f>
        <v>5000</v>
      </c>
      <c r="P10" s="618">
        <v>5000</v>
      </c>
      <c r="Q10" s="618"/>
      <c r="R10" s="618">
        <v>5000</v>
      </c>
      <c r="S10" s="621"/>
      <c r="T10" s="1480">
        <f t="shared" si="0"/>
        <v>5000</v>
      </c>
      <c r="V10" s="630">
        <f t="shared" si="1"/>
      </c>
    </row>
    <row r="11" spans="1:22" s="617" customFormat="1" ht="27.75" customHeight="1">
      <c r="A11" s="761">
        <v>1</v>
      </c>
      <c r="B11" s="762">
        <v>1</v>
      </c>
      <c r="C11" s="762">
        <v>1</v>
      </c>
      <c r="D11" s="1101">
        <v>10</v>
      </c>
      <c r="E11" s="666">
        <v>103</v>
      </c>
      <c r="F11" s="741" t="s">
        <v>100</v>
      </c>
      <c r="G11" s="760" t="s">
        <v>206</v>
      </c>
      <c r="H11" s="576"/>
      <c r="I11" s="576">
        <v>35206</v>
      </c>
      <c r="J11" s="576">
        <v>41722.32</v>
      </c>
      <c r="K11" s="575">
        <f t="shared" si="2"/>
        <v>2311.230000000003</v>
      </c>
      <c r="L11" s="575">
        <v>44033.55</v>
      </c>
      <c r="M11" s="575"/>
      <c r="N11" s="618">
        <v>46000</v>
      </c>
      <c r="O11" s="618">
        <f aca="true" t="shared" si="3" ref="O11:O19">N11-I11</f>
        <v>10794</v>
      </c>
      <c r="P11" s="618">
        <v>52000</v>
      </c>
      <c r="Q11" s="618"/>
      <c r="R11" s="618">
        <v>52000</v>
      </c>
      <c r="S11" s="621"/>
      <c r="T11" s="1480">
        <f t="shared" si="0"/>
        <v>46000</v>
      </c>
      <c r="V11" s="630">
        <f t="shared" si="1"/>
      </c>
    </row>
    <row r="12" spans="1:22" s="617" customFormat="1" ht="27.75" customHeight="1">
      <c r="A12" s="761">
        <v>1</v>
      </c>
      <c r="B12" s="762">
        <v>1</v>
      </c>
      <c r="C12" s="762">
        <v>1</v>
      </c>
      <c r="D12" s="1101">
        <v>13</v>
      </c>
      <c r="E12" s="666">
        <v>103</v>
      </c>
      <c r="F12" s="741" t="s">
        <v>101</v>
      </c>
      <c r="G12" s="760" t="s">
        <v>162</v>
      </c>
      <c r="H12" s="576">
        <v>875.14</v>
      </c>
      <c r="I12" s="576">
        <v>1500</v>
      </c>
      <c r="J12" s="576">
        <v>3146.52</v>
      </c>
      <c r="K12" s="575">
        <f t="shared" si="2"/>
        <v>1353.48</v>
      </c>
      <c r="L12" s="575">
        <v>4500</v>
      </c>
      <c r="M12" s="575"/>
      <c r="N12" s="618">
        <v>4500</v>
      </c>
      <c r="O12" s="618">
        <f t="shared" si="3"/>
        <v>3000</v>
      </c>
      <c r="P12" s="576">
        <v>4500</v>
      </c>
      <c r="Q12" s="618"/>
      <c r="R12" s="576">
        <v>4500</v>
      </c>
      <c r="S12" s="621"/>
      <c r="T12" s="1480">
        <f t="shared" si="0"/>
        <v>5375.14</v>
      </c>
      <c r="V12" s="630">
        <f t="shared" si="1"/>
      </c>
    </row>
    <row r="13" spans="1:22" s="617" customFormat="1" ht="27.75" customHeight="1">
      <c r="A13" s="761">
        <v>1</v>
      </c>
      <c r="B13" s="762">
        <v>1</v>
      </c>
      <c r="C13" s="762">
        <v>1</v>
      </c>
      <c r="D13" s="1102">
        <v>14</v>
      </c>
      <c r="E13" s="741">
        <v>103</v>
      </c>
      <c r="F13" s="741" t="s">
        <v>98</v>
      </c>
      <c r="G13" s="760" t="s">
        <v>169</v>
      </c>
      <c r="H13" s="576"/>
      <c r="I13" s="576"/>
      <c r="J13" s="576"/>
      <c r="K13" s="575">
        <f t="shared" si="2"/>
        <v>0</v>
      </c>
      <c r="L13" s="575"/>
      <c r="M13" s="575"/>
      <c r="N13" s="618"/>
      <c r="O13" s="618">
        <f t="shared" si="3"/>
        <v>0</v>
      </c>
      <c r="P13" s="576"/>
      <c r="Q13" s="618"/>
      <c r="R13" s="576"/>
      <c r="S13" s="621"/>
      <c r="T13" s="625">
        <f t="shared" si="0"/>
        <v>0</v>
      </c>
      <c r="V13" s="630">
        <f t="shared" si="1"/>
      </c>
    </row>
    <row r="14" spans="1:22" s="617" customFormat="1" ht="27.75" customHeight="1">
      <c r="A14" s="761">
        <v>1</v>
      </c>
      <c r="B14" s="762">
        <v>1</v>
      </c>
      <c r="C14" s="762">
        <v>1</v>
      </c>
      <c r="D14" s="1101">
        <v>15</v>
      </c>
      <c r="E14" s="666">
        <v>102</v>
      </c>
      <c r="F14" s="741" t="s">
        <v>104</v>
      </c>
      <c r="G14" s="760" t="s">
        <v>163</v>
      </c>
      <c r="H14" s="576"/>
      <c r="I14" s="576">
        <v>3000</v>
      </c>
      <c r="J14" s="576">
        <v>3546.26</v>
      </c>
      <c r="K14" s="575">
        <f t="shared" si="2"/>
        <v>204.73999999999978</v>
      </c>
      <c r="L14" s="575">
        <v>3751</v>
      </c>
      <c r="M14" s="575"/>
      <c r="N14" s="618">
        <v>3910</v>
      </c>
      <c r="O14" s="618">
        <f t="shared" si="3"/>
        <v>910</v>
      </c>
      <c r="P14" s="618">
        <v>4420</v>
      </c>
      <c r="Q14" s="618"/>
      <c r="R14" s="575">
        <v>4420</v>
      </c>
      <c r="S14" s="621"/>
      <c r="T14" s="1480">
        <f t="shared" si="0"/>
        <v>3910</v>
      </c>
      <c r="V14" s="630">
        <f t="shared" si="1"/>
      </c>
    </row>
    <row r="15" spans="1:22" s="617" customFormat="1" ht="27.75" customHeight="1">
      <c r="A15" s="761">
        <v>1</v>
      </c>
      <c r="B15" s="762">
        <v>1</v>
      </c>
      <c r="C15" s="762">
        <v>1</v>
      </c>
      <c r="D15" s="1101">
        <v>16</v>
      </c>
      <c r="E15" s="666">
        <v>102</v>
      </c>
      <c r="F15" s="741" t="s">
        <v>98</v>
      </c>
      <c r="G15" s="765" t="s">
        <v>934</v>
      </c>
      <c r="H15" s="576"/>
      <c r="I15" s="576"/>
      <c r="J15" s="576"/>
      <c r="K15" s="575">
        <f t="shared" si="2"/>
        <v>0</v>
      </c>
      <c r="L15" s="575"/>
      <c r="M15" s="575"/>
      <c r="N15" s="618"/>
      <c r="O15" s="618">
        <f t="shared" si="3"/>
        <v>0</v>
      </c>
      <c r="P15" s="575"/>
      <c r="Q15" s="618"/>
      <c r="R15" s="575"/>
      <c r="S15" s="621"/>
      <c r="T15" s="625">
        <f t="shared" si="0"/>
        <v>0</v>
      </c>
      <c r="V15" s="630">
        <f t="shared" si="1"/>
      </c>
    </row>
    <row r="16" spans="1:22" s="617" customFormat="1" ht="27.75" customHeight="1">
      <c r="A16" s="761">
        <v>1</v>
      </c>
      <c r="B16" s="762">
        <v>1</v>
      </c>
      <c r="C16" s="762">
        <v>1</v>
      </c>
      <c r="D16" s="1102">
        <v>17</v>
      </c>
      <c r="E16" s="741">
        <v>103</v>
      </c>
      <c r="F16" s="741" t="s">
        <v>102</v>
      </c>
      <c r="G16" s="760" t="s">
        <v>170</v>
      </c>
      <c r="H16" s="576"/>
      <c r="I16" s="576"/>
      <c r="J16" s="576"/>
      <c r="K16" s="575">
        <f t="shared" si="2"/>
        <v>0</v>
      </c>
      <c r="L16" s="575"/>
      <c r="M16" s="575"/>
      <c r="N16" s="618"/>
      <c r="O16" s="618">
        <f t="shared" si="3"/>
        <v>0</v>
      </c>
      <c r="P16" s="576"/>
      <c r="Q16" s="618"/>
      <c r="R16" s="576"/>
      <c r="S16" s="621"/>
      <c r="T16" s="625">
        <f t="shared" si="0"/>
        <v>0</v>
      </c>
      <c r="V16" s="630">
        <f t="shared" si="1"/>
      </c>
    </row>
    <row r="17" spans="1:22" s="617" customFormat="1" ht="27.75" customHeight="1">
      <c r="A17" s="626">
        <v>1</v>
      </c>
      <c r="B17" s="627">
        <v>1</v>
      </c>
      <c r="C17" s="627">
        <v>1</v>
      </c>
      <c r="D17" s="1103">
        <v>18</v>
      </c>
      <c r="E17" s="741">
        <v>102</v>
      </c>
      <c r="F17" s="741" t="s">
        <v>104</v>
      </c>
      <c r="G17" s="760" t="s">
        <v>171</v>
      </c>
      <c r="H17" s="575"/>
      <c r="I17" s="575"/>
      <c r="J17" s="575"/>
      <c r="K17" s="575">
        <f t="shared" si="2"/>
        <v>0</v>
      </c>
      <c r="L17" s="576"/>
      <c r="M17" s="576"/>
      <c r="N17" s="576"/>
      <c r="O17" s="618">
        <f t="shared" si="3"/>
        <v>0</v>
      </c>
      <c r="P17" s="576"/>
      <c r="Q17" s="618"/>
      <c r="R17" s="576"/>
      <c r="S17" s="640"/>
      <c r="T17" s="625">
        <f t="shared" si="0"/>
        <v>0</v>
      </c>
      <c r="V17" s="630">
        <f t="shared" si="1"/>
      </c>
    </row>
    <row r="18" spans="1:22" s="617" customFormat="1" ht="27.75" customHeight="1">
      <c r="A18" s="761">
        <v>1</v>
      </c>
      <c r="B18" s="762">
        <v>1</v>
      </c>
      <c r="C18" s="762">
        <v>1</v>
      </c>
      <c r="D18" s="1101">
        <v>200</v>
      </c>
      <c r="E18" s="666">
        <v>103</v>
      </c>
      <c r="F18" s="741" t="s">
        <v>102</v>
      </c>
      <c r="G18" s="760" t="s">
        <v>207</v>
      </c>
      <c r="H18" s="576">
        <v>753.4</v>
      </c>
      <c r="I18" s="576">
        <v>2500</v>
      </c>
      <c r="J18" s="576">
        <v>2448.56</v>
      </c>
      <c r="K18" s="575">
        <f>L18-J18</f>
        <v>51.440000000000055</v>
      </c>
      <c r="L18" s="576">
        <v>2500</v>
      </c>
      <c r="M18" s="576"/>
      <c r="N18" s="618">
        <v>2500</v>
      </c>
      <c r="O18" s="618">
        <f t="shared" si="3"/>
        <v>0</v>
      </c>
      <c r="P18" s="576">
        <v>2500</v>
      </c>
      <c r="Q18" s="618"/>
      <c r="R18" s="576">
        <v>2500</v>
      </c>
      <c r="S18" s="621"/>
      <c r="T18" s="1480">
        <f t="shared" si="0"/>
        <v>3253.4</v>
      </c>
      <c r="V18" s="630">
        <f t="shared" si="1"/>
      </c>
    </row>
    <row r="19" spans="1:22" s="617" customFormat="1" ht="27.75" customHeight="1">
      <c r="A19" s="626">
        <v>1</v>
      </c>
      <c r="B19" s="627">
        <v>1</v>
      </c>
      <c r="C19" s="627">
        <v>1</v>
      </c>
      <c r="D19" s="1104">
        <v>283</v>
      </c>
      <c r="E19" s="1099">
        <v>107</v>
      </c>
      <c r="F19" s="770" t="s">
        <v>123</v>
      </c>
      <c r="G19" s="771" t="s">
        <v>332</v>
      </c>
      <c r="H19" s="596"/>
      <c r="I19" s="596">
        <v>2190</v>
      </c>
      <c r="J19" s="596">
        <v>2190</v>
      </c>
      <c r="K19" s="575">
        <f t="shared" si="2"/>
        <v>0</v>
      </c>
      <c r="L19" s="588">
        <v>2190</v>
      </c>
      <c r="M19" s="588"/>
      <c r="N19" s="739">
        <v>1816</v>
      </c>
      <c r="O19" s="618">
        <f t="shared" si="3"/>
        <v>-374</v>
      </c>
      <c r="P19" s="745">
        <v>1440</v>
      </c>
      <c r="Q19" s="746"/>
      <c r="R19" s="745">
        <v>1070</v>
      </c>
      <c r="S19" s="640"/>
      <c r="T19" s="1494">
        <f t="shared" si="0"/>
        <v>1816</v>
      </c>
      <c r="V19" s="630">
        <f t="shared" si="1"/>
      </c>
    </row>
    <row r="20" spans="1:22" s="686" customFormat="1" ht="21" customHeight="1">
      <c r="A20" s="1276" t="s">
        <v>33</v>
      </c>
      <c r="B20" s="1277"/>
      <c r="C20" s="1277"/>
      <c r="D20" s="1277"/>
      <c r="E20" s="1277"/>
      <c r="F20" s="1277"/>
      <c r="G20" s="1278"/>
      <c r="H20" s="1486">
        <f aca="true" t="shared" si="4" ref="H20:T20">SUM(H7:H19)</f>
        <v>2341.54</v>
      </c>
      <c r="I20" s="580">
        <f t="shared" si="4"/>
        <v>45396</v>
      </c>
      <c r="J20" s="580">
        <f t="shared" si="4"/>
        <v>55911.649999999994</v>
      </c>
      <c r="K20" s="580">
        <f t="shared" si="4"/>
        <v>7062.900000000003</v>
      </c>
      <c r="L20" s="578">
        <f t="shared" si="4"/>
        <v>62974.55</v>
      </c>
      <c r="M20" s="578">
        <f t="shared" si="4"/>
        <v>0</v>
      </c>
      <c r="N20" s="578">
        <f t="shared" si="4"/>
        <v>64726</v>
      </c>
      <c r="O20" s="578">
        <f t="shared" si="4"/>
        <v>19330</v>
      </c>
      <c r="P20" s="578">
        <f t="shared" si="4"/>
        <v>70860</v>
      </c>
      <c r="Q20" s="578">
        <f t="shared" si="4"/>
        <v>0</v>
      </c>
      <c r="R20" s="578">
        <f t="shared" si="4"/>
        <v>70490</v>
      </c>
      <c r="S20" s="772">
        <f t="shared" si="4"/>
        <v>0</v>
      </c>
      <c r="T20" s="670">
        <f t="shared" si="4"/>
        <v>67067.54000000001</v>
      </c>
      <c r="U20" s="773"/>
      <c r="V20" s="630">
        <f t="shared" si="1"/>
      </c>
    </row>
    <row r="21" spans="1:22" s="617" customFormat="1" ht="27.75" customHeight="1">
      <c r="A21" s="761">
        <v>1</v>
      </c>
      <c r="B21" s="762">
        <v>2</v>
      </c>
      <c r="C21" s="762">
        <v>1</v>
      </c>
      <c r="D21" s="1101">
        <v>40</v>
      </c>
      <c r="E21" s="666">
        <v>101</v>
      </c>
      <c r="F21" s="741" t="s">
        <v>96</v>
      </c>
      <c r="G21" s="760" t="s">
        <v>126</v>
      </c>
      <c r="H21" s="576">
        <v>9266.88</v>
      </c>
      <c r="I21" s="576">
        <v>62500</v>
      </c>
      <c r="J21" s="576">
        <v>61501.42</v>
      </c>
      <c r="K21" s="576">
        <f>L21-J21</f>
        <v>2688.5800000000017</v>
      </c>
      <c r="L21" s="576">
        <v>64190</v>
      </c>
      <c r="M21" s="576"/>
      <c r="N21" s="575">
        <v>86200</v>
      </c>
      <c r="O21" s="636">
        <f>N21-I21</f>
        <v>23700</v>
      </c>
      <c r="P21" s="575">
        <v>86200</v>
      </c>
      <c r="Q21" s="636"/>
      <c r="R21" s="575">
        <v>86200</v>
      </c>
      <c r="S21" s="621"/>
      <c r="T21" s="1481">
        <f>H21+N21</f>
        <v>95466.88</v>
      </c>
      <c r="V21" s="630">
        <f t="shared" si="1"/>
      </c>
    </row>
    <row r="22" spans="1:22" s="617" customFormat="1" ht="27.75" customHeight="1">
      <c r="A22" s="761"/>
      <c r="B22" s="762">
        <v>2</v>
      </c>
      <c r="C22" s="762">
        <v>1</v>
      </c>
      <c r="D22" s="1101">
        <v>41</v>
      </c>
      <c r="E22" s="666">
        <v>101</v>
      </c>
      <c r="F22" s="741" t="s">
        <v>1093</v>
      </c>
      <c r="G22" s="765" t="s">
        <v>1094</v>
      </c>
      <c r="H22" s="576"/>
      <c r="I22" s="576"/>
      <c r="J22" s="576">
        <v>1695.33</v>
      </c>
      <c r="K22" s="576">
        <f>L22-J22</f>
        <v>0</v>
      </c>
      <c r="L22" s="576">
        <v>1695.33</v>
      </c>
      <c r="M22" s="576"/>
      <c r="N22" s="575"/>
      <c r="O22" s="636">
        <f>N22-I22</f>
        <v>0</v>
      </c>
      <c r="P22" s="636"/>
      <c r="Q22" s="636"/>
      <c r="R22" s="575"/>
      <c r="S22" s="621"/>
      <c r="T22" s="622">
        <f>H22+N22</f>
        <v>0</v>
      </c>
      <c r="V22" s="630">
        <f t="shared" si="1"/>
      </c>
    </row>
    <row r="23" spans="1:22" s="617" customFormat="1" ht="27.75" customHeight="1">
      <c r="A23" s="761">
        <v>1</v>
      </c>
      <c r="B23" s="762">
        <v>2</v>
      </c>
      <c r="C23" s="762">
        <v>1</v>
      </c>
      <c r="D23" s="1101">
        <v>45</v>
      </c>
      <c r="E23" s="666">
        <v>101</v>
      </c>
      <c r="F23" s="741" t="s">
        <v>104</v>
      </c>
      <c r="G23" s="765" t="s">
        <v>935</v>
      </c>
      <c r="H23" s="576">
        <v>4000</v>
      </c>
      <c r="I23" s="576">
        <v>17200</v>
      </c>
      <c r="J23" s="576">
        <v>7851.39</v>
      </c>
      <c r="K23" s="576">
        <f aca="true" t="shared" si="5" ref="K23:K34">L23-J23</f>
        <v>48.60999999999967</v>
      </c>
      <c r="L23" s="576">
        <v>7900</v>
      </c>
      <c r="M23" s="576"/>
      <c r="N23" s="575">
        <v>0</v>
      </c>
      <c r="O23" s="636">
        <f aca="true" t="shared" si="6" ref="O23:O34">N23-I23</f>
        <v>-17200</v>
      </c>
      <c r="P23" s="636">
        <v>0</v>
      </c>
      <c r="Q23" s="636"/>
      <c r="R23" s="575">
        <v>0</v>
      </c>
      <c r="S23" s="621"/>
      <c r="T23" s="1481">
        <f>H23+N23</f>
        <v>4000</v>
      </c>
      <c r="V23" s="630">
        <f t="shared" si="1"/>
      </c>
    </row>
    <row r="24" spans="1:22" s="617" customFormat="1" ht="27.75" customHeight="1">
      <c r="A24" s="761">
        <v>1</v>
      </c>
      <c r="B24" s="762">
        <v>2</v>
      </c>
      <c r="C24" s="762">
        <v>1</v>
      </c>
      <c r="D24" s="1101">
        <v>75</v>
      </c>
      <c r="E24" s="666">
        <v>101</v>
      </c>
      <c r="F24" s="741" t="s">
        <v>104</v>
      </c>
      <c r="G24" s="765" t="s">
        <v>1089</v>
      </c>
      <c r="H24" s="576">
        <v>1139</v>
      </c>
      <c r="I24" s="576">
        <v>4200</v>
      </c>
      <c r="J24" s="576">
        <v>1868.64</v>
      </c>
      <c r="K24" s="576">
        <f t="shared" si="5"/>
        <v>131.3599999999999</v>
      </c>
      <c r="L24" s="576">
        <v>2000</v>
      </c>
      <c r="M24" s="576"/>
      <c r="N24" s="575">
        <v>1920</v>
      </c>
      <c r="O24" s="636">
        <f t="shared" si="6"/>
        <v>-2280</v>
      </c>
      <c r="P24" s="636">
        <v>1920</v>
      </c>
      <c r="Q24" s="636"/>
      <c r="R24" s="575">
        <v>1920</v>
      </c>
      <c r="S24" s="621"/>
      <c r="T24" s="1481">
        <f aca="true" t="shared" si="7" ref="T24:T34">H24+N24</f>
        <v>3059</v>
      </c>
      <c r="V24" s="630">
        <f t="shared" si="1"/>
      </c>
    </row>
    <row r="25" spans="1:22" s="617" customFormat="1" ht="27.75" customHeight="1">
      <c r="A25" s="761">
        <v>1</v>
      </c>
      <c r="B25" s="762">
        <v>2</v>
      </c>
      <c r="C25" s="762">
        <v>1</v>
      </c>
      <c r="D25" s="1101">
        <v>80</v>
      </c>
      <c r="E25" s="666">
        <v>101</v>
      </c>
      <c r="F25" s="741" t="s">
        <v>97</v>
      </c>
      <c r="G25" s="760" t="s">
        <v>130</v>
      </c>
      <c r="H25" s="576">
        <v>2316.94</v>
      </c>
      <c r="I25" s="576">
        <v>17200</v>
      </c>
      <c r="J25" s="576">
        <v>19521.98</v>
      </c>
      <c r="K25" s="576">
        <f t="shared" si="5"/>
        <v>233.02000000000044</v>
      </c>
      <c r="L25" s="576">
        <v>19755</v>
      </c>
      <c r="M25" s="576"/>
      <c r="N25" s="575">
        <v>23200</v>
      </c>
      <c r="O25" s="636">
        <f t="shared" si="6"/>
        <v>6000</v>
      </c>
      <c r="P25" s="636">
        <v>23200</v>
      </c>
      <c r="Q25" s="636"/>
      <c r="R25" s="575">
        <v>23200</v>
      </c>
      <c r="S25" s="621"/>
      <c r="T25" s="1493">
        <f t="shared" si="7"/>
        <v>25516.94</v>
      </c>
      <c r="V25" s="630">
        <f t="shared" si="1"/>
      </c>
    </row>
    <row r="26" spans="1:22" s="617" customFormat="1" ht="27.75" customHeight="1">
      <c r="A26" s="626">
        <v>1</v>
      </c>
      <c r="B26" s="627">
        <v>2</v>
      </c>
      <c r="C26" s="627">
        <v>1</v>
      </c>
      <c r="D26" s="1104">
        <v>81</v>
      </c>
      <c r="E26" s="665">
        <v>104</v>
      </c>
      <c r="F26" s="628" t="s">
        <v>113</v>
      </c>
      <c r="G26" s="629" t="s">
        <v>666</v>
      </c>
      <c r="H26" s="577">
        <v>2909</v>
      </c>
      <c r="I26" s="577"/>
      <c r="J26" s="577"/>
      <c r="K26" s="576"/>
      <c r="L26" s="577"/>
      <c r="M26" s="1161">
        <v>2909</v>
      </c>
      <c r="N26" s="587"/>
      <c r="O26" s="636">
        <f t="shared" si="6"/>
        <v>0</v>
      </c>
      <c r="P26" s="631"/>
      <c r="Q26" s="631"/>
      <c r="R26" s="587"/>
      <c r="S26" s="640"/>
      <c r="T26" s="1493">
        <f t="shared" si="7"/>
        <v>2909</v>
      </c>
      <c r="V26" s="630">
        <f t="shared" si="1"/>
      </c>
    </row>
    <row r="27" spans="1:22" s="617" customFormat="1" ht="27.75" customHeight="1">
      <c r="A27" s="761">
        <v>1</v>
      </c>
      <c r="B27" s="762">
        <v>2</v>
      </c>
      <c r="C27" s="762">
        <v>1</v>
      </c>
      <c r="D27" s="1101">
        <v>82</v>
      </c>
      <c r="E27" s="666">
        <v>103</v>
      </c>
      <c r="F27" s="741" t="s">
        <v>101</v>
      </c>
      <c r="G27" s="760" t="s">
        <v>417</v>
      </c>
      <c r="H27" s="576">
        <v>3800</v>
      </c>
      <c r="I27" s="576"/>
      <c r="J27" s="576"/>
      <c r="K27" s="576"/>
      <c r="L27" s="576"/>
      <c r="M27" s="1162">
        <v>1900</v>
      </c>
      <c r="N27" s="575"/>
      <c r="O27" s="636">
        <f t="shared" si="6"/>
        <v>0</v>
      </c>
      <c r="P27" s="636"/>
      <c r="Q27" s="636"/>
      <c r="R27" s="575"/>
      <c r="S27" s="621"/>
      <c r="T27" s="1493">
        <f t="shared" si="7"/>
        <v>3800</v>
      </c>
      <c r="V27" s="630">
        <f t="shared" si="1"/>
      </c>
    </row>
    <row r="28" spans="1:22" s="617" customFormat="1" ht="27.75" customHeight="1">
      <c r="A28" s="761">
        <v>1</v>
      </c>
      <c r="B28" s="762">
        <v>2</v>
      </c>
      <c r="C28" s="762">
        <v>1</v>
      </c>
      <c r="D28" s="1101">
        <v>83</v>
      </c>
      <c r="E28" s="666">
        <v>104</v>
      </c>
      <c r="F28" s="741" t="s">
        <v>105</v>
      </c>
      <c r="G28" s="765" t="s">
        <v>973</v>
      </c>
      <c r="H28" s="576">
        <v>16410.97</v>
      </c>
      <c r="I28" s="576">
        <v>20125</v>
      </c>
      <c r="J28" s="576">
        <v>20125</v>
      </c>
      <c r="K28" s="576">
        <f t="shared" si="5"/>
        <v>0</v>
      </c>
      <c r="L28" s="576">
        <v>20125</v>
      </c>
      <c r="M28" s="1162">
        <v>785.88</v>
      </c>
      <c r="N28" s="575">
        <v>0</v>
      </c>
      <c r="O28" s="636">
        <f t="shared" si="6"/>
        <v>-20125</v>
      </c>
      <c r="P28" s="636">
        <v>0</v>
      </c>
      <c r="Q28" s="636"/>
      <c r="R28" s="575">
        <v>0</v>
      </c>
      <c r="S28" s="621"/>
      <c r="T28" s="1481">
        <f t="shared" si="7"/>
        <v>16410.97</v>
      </c>
      <c r="V28" s="630">
        <f t="shared" si="1"/>
      </c>
    </row>
    <row r="29" spans="1:22" s="617" customFormat="1" ht="27.75" customHeight="1">
      <c r="A29" s="626">
        <v>1</v>
      </c>
      <c r="B29" s="627">
        <v>2</v>
      </c>
      <c r="C29" s="627">
        <v>1</v>
      </c>
      <c r="D29" s="1104">
        <v>84</v>
      </c>
      <c r="E29" s="665">
        <v>104</v>
      </c>
      <c r="F29" s="741" t="s">
        <v>105</v>
      </c>
      <c r="G29" s="629" t="s">
        <v>1003</v>
      </c>
      <c r="H29" s="577">
        <v>19264.73</v>
      </c>
      <c r="I29" s="577"/>
      <c r="J29" s="577">
        <v>21000</v>
      </c>
      <c r="K29" s="576">
        <f t="shared" si="5"/>
        <v>0</v>
      </c>
      <c r="L29" s="577">
        <v>21000</v>
      </c>
      <c r="M29" s="577"/>
      <c r="N29" s="587">
        <v>39000</v>
      </c>
      <c r="O29" s="636">
        <f t="shared" si="6"/>
        <v>39000</v>
      </c>
      <c r="P29" s="631">
        <v>39000</v>
      </c>
      <c r="Q29" s="631"/>
      <c r="R29" s="587">
        <v>39000</v>
      </c>
      <c r="S29" s="640"/>
      <c r="T29" s="1481">
        <f t="shared" si="7"/>
        <v>58264.729999999996</v>
      </c>
      <c r="V29" s="630">
        <f t="shared" si="1"/>
      </c>
    </row>
    <row r="30" spans="1:22" s="617" customFormat="1" ht="27.75" customHeight="1">
      <c r="A30" s="626">
        <v>1</v>
      </c>
      <c r="B30" s="627">
        <v>2</v>
      </c>
      <c r="C30" s="627">
        <v>1</v>
      </c>
      <c r="D30" s="1104">
        <v>205</v>
      </c>
      <c r="E30" s="665">
        <v>104</v>
      </c>
      <c r="F30" s="628" t="s">
        <v>105</v>
      </c>
      <c r="G30" s="775" t="s">
        <v>251</v>
      </c>
      <c r="H30" s="577"/>
      <c r="I30" s="577">
        <v>300</v>
      </c>
      <c r="J30" s="577">
        <v>0</v>
      </c>
      <c r="K30" s="576">
        <f t="shared" si="5"/>
        <v>300</v>
      </c>
      <c r="L30" s="577">
        <v>300</v>
      </c>
      <c r="M30" s="577"/>
      <c r="N30" s="587">
        <v>300</v>
      </c>
      <c r="O30" s="636">
        <f>N30-I30</f>
        <v>0</v>
      </c>
      <c r="P30" s="631">
        <v>300</v>
      </c>
      <c r="Q30" s="631"/>
      <c r="R30" s="587">
        <v>300</v>
      </c>
      <c r="S30" s="640"/>
      <c r="T30" s="1481">
        <f t="shared" si="7"/>
        <v>300</v>
      </c>
      <c r="V30" s="630">
        <f t="shared" si="1"/>
      </c>
    </row>
    <row r="31" spans="1:22" s="617" customFormat="1" ht="27.75" customHeight="1">
      <c r="A31" s="761">
        <v>1</v>
      </c>
      <c r="B31" s="762">
        <v>2</v>
      </c>
      <c r="C31" s="762">
        <v>1</v>
      </c>
      <c r="D31" s="1101">
        <v>210</v>
      </c>
      <c r="E31" s="666">
        <v>101</v>
      </c>
      <c r="F31" s="741" t="s">
        <v>96</v>
      </c>
      <c r="G31" s="760" t="s">
        <v>218</v>
      </c>
      <c r="H31" s="576">
        <v>2396.31</v>
      </c>
      <c r="I31" s="576">
        <v>4000</v>
      </c>
      <c r="J31" s="576">
        <v>8000</v>
      </c>
      <c r="K31" s="576">
        <f t="shared" si="5"/>
        <v>0</v>
      </c>
      <c r="L31" s="576">
        <v>8000</v>
      </c>
      <c r="M31" s="1162">
        <v>839.26</v>
      </c>
      <c r="N31" s="575">
        <v>8000</v>
      </c>
      <c r="O31" s="636">
        <f t="shared" si="6"/>
        <v>4000</v>
      </c>
      <c r="P31" s="636">
        <v>8000</v>
      </c>
      <c r="Q31" s="636"/>
      <c r="R31" s="575">
        <v>8000</v>
      </c>
      <c r="S31" s="621"/>
      <c r="T31" s="1481">
        <f t="shared" si="7"/>
        <v>10396.31</v>
      </c>
      <c r="V31" s="630">
        <f t="shared" si="1"/>
      </c>
    </row>
    <row r="32" spans="1:22" s="617" customFormat="1" ht="27.75" customHeight="1">
      <c r="A32" s="761">
        <v>1</v>
      </c>
      <c r="B32" s="762">
        <v>2</v>
      </c>
      <c r="C32" s="762">
        <v>1</v>
      </c>
      <c r="D32" s="1101">
        <v>215</v>
      </c>
      <c r="E32" s="666">
        <v>101</v>
      </c>
      <c r="F32" s="741" t="s">
        <v>871</v>
      </c>
      <c r="G32" s="765" t="s">
        <v>675</v>
      </c>
      <c r="H32" s="576"/>
      <c r="I32" s="576"/>
      <c r="J32" s="576"/>
      <c r="K32" s="576">
        <f>L32-J32</f>
        <v>0</v>
      </c>
      <c r="L32" s="576"/>
      <c r="M32" s="576"/>
      <c r="N32" s="575"/>
      <c r="O32" s="636">
        <f t="shared" si="6"/>
        <v>0</v>
      </c>
      <c r="P32" s="636"/>
      <c r="Q32" s="636"/>
      <c r="R32" s="575"/>
      <c r="S32" s="621"/>
      <c r="T32" s="622">
        <f t="shared" si="7"/>
        <v>0</v>
      </c>
      <c r="V32" s="630">
        <f t="shared" si="1"/>
      </c>
    </row>
    <row r="33" spans="1:22" s="617" customFormat="1" ht="27.75" customHeight="1">
      <c r="A33" s="761">
        <v>1</v>
      </c>
      <c r="B33" s="762">
        <v>2</v>
      </c>
      <c r="C33" s="762">
        <v>1</v>
      </c>
      <c r="D33" s="1101">
        <v>251</v>
      </c>
      <c r="E33" s="666">
        <v>102</v>
      </c>
      <c r="F33" s="741" t="s">
        <v>937</v>
      </c>
      <c r="G33" s="765" t="s">
        <v>810</v>
      </c>
      <c r="H33" s="576">
        <v>2253.2</v>
      </c>
      <c r="I33" s="576">
        <v>5400</v>
      </c>
      <c r="J33" s="576">
        <v>5471.49</v>
      </c>
      <c r="K33" s="576">
        <f t="shared" si="5"/>
        <v>228.51000000000022</v>
      </c>
      <c r="L33" s="576">
        <v>5700</v>
      </c>
      <c r="M33" s="576"/>
      <c r="N33" s="575">
        <v>7400</v>
      </c>
      <c r="O33" s="636">
        <f t="shared" si="6"/>
        <v>2000</v>
      </c>
      <c r="P33" s="636">
        <v>7400</v>
      </c>
      <c r="Q33" s="636"/>
      <c r="R33" s="575">
        <v>7400</v>
      </c>
      <c r="S33" s="621"/>
      <c r="T33" s="1493">
        <f t="shared" si="7"/>
        <v>9653.2</v>
      </c>
      <c r="V33" s="630">
        <f t="shared" si="1"/>
      </c>
    </row>
    <row r="34" spans="1:22" s="617" customFormat="1" ht="27.75" customHeight="1">
      <c r="A34" s="761">
        <v>1</v>
      </c>
      <c r="B34" s="762">
        <v>2</v>
      </c>
      <c r="C34" s="762">
        <v>1</v>
      </c>
      <c r="D34" s="1101">
        <v>255</v>
      </c>
      <c r="E34" s="666">
        <v>102</v>
      </c>
      <c r="F34" s="741" t="s">
        <v>937</v>
      </c>
      <c r="G34" s="765" t="s">
        <v>936</v>
      </c>
      <c r="H34" s="576">
        <v>350</v>
      </c>
      <c r="I34" s="576">
        <v>2100</v>
      </c>
      <c r="J34" s="576">
        <v>667.38</v>
      </c>
      <c r="K34" s="576">
        <f t="shared" si="5"/>
        <v>32.620000000000005</v>
      </c>
      <c r="L34" s="576">
        <v>700</v>
      </c>
      <c r="M34" s="576"/>
      <c r="N34" s="575">
        <v>680</v>
      </c>
      <c r="O34" s="636">
        <f t="shared" si="6"/>
        <v>-1420</v>
      </c>
      <c r="P34" s="575">
        <v>680</v>
      </c>
      <c r="Q34" s="636"/>
      <c r="R34" s="575">
        <v>680</v>
      </c>
      <c r="S34" s="621"/>
      <c r="T34" s="1493">
        <f t="shared" si="7"/>
        <v>1030</v>
      </c>
      <c r="V34" s="630">
        <f t="shared" si="1"/>
      </c>
    </row>
    <row r="35" spans="1:22" s="686" customFormat="1" ht="21" customHeight="1">
      <c r="A35" s="1276" t="s">
        <v>34</v>
      </c>
      <c r="B35" s="1277"/>
      <c r="C35" s="1277"/>
      <c r="D35" s="1277"/>
      <c r="E35" s="1277"/>
      <c r="F35" s="1277"/>
      <c r="G35" s="1278"/>
      <c r="H35" s="1485">
        <f aca="true" t="shared" si="8" ref="H35:T35">SUM(H21:H34)</f>
        <v>64107.03</v>
      </c>
      <c r="I35" s="580">
        <f t="shared" si="8"/>
        <v>133025</v>
      </c>
      <c r="J35" s="580">
        <f t="shared" si="8"/>
        <v>147702.63</v>
      </c>
      <c r="K35" s="580">
        <f t="shared" si="8"/>
        <v>3662.7000000000016</v>
      </c>
      <c r="L35" s="578">
        <f t="shared" si="8"/>
        <v>151365.33000000002</v>
      </c>
      <c r="M35" s="578">
        <f t="shared" si="8"/>
        <v>6434.14</v>
      </c>
      <c r="N35" s="578">
        <f t="shared" si="8"/>
        <v>166700</v>
      </c>
      <c r="O35" s="578">
        <f t="shared" si="8"/>
        <v>33675</v>
      </c>
      <c r="P35" s="578">
        <f t="shared" si="8"/>
        <v>166700</v>
      </c>
      <c r="Q35" s="578">
        <f t="shared" si="8"/>
        <v>0</v>
      </c>
      <c r="R35" s="578">
        <f t="shared" si="8"/>
        <v>166700</v>
      </c>
      <c r="S35" s="772">
        <f t="shared" si="8"/>
        <v>0</v>
      </c>
      <c r="T35" s="670">
        <f t="shared" si="8"/>
        <v>230807.03000000003</v>
      </c>
      <c r="V35" s="630">
        <f t="shared" si="1"/>
      </c>
    </row>
    <row r="36" spans="1:22" s="617" customFormat="1" ht="27.75" customHeight="1">
      <c r="A36" s="761">
        <v>1</v>
      </c>
      <c r="B36" s="762">
        <v>3</v>
      </c>
      <c r="C36" s="762">
        <v>1</v>
      </c>
      <c r="D36" s="1101">
        <v>11</v>
      </c>
      <c r="E36" s="666">
        <v>103</v>
      </c>
      <c r="F36" s="741" t="s">
        <v>100</v>
      </c>
      <c r="G36" s="765" t="s">
        <v>466</v>
      </c>
      <c r="H36" s="575">
        <v>7485.92</v>
      </c>
      <c r="I36" s="575">
        <v>7800</v>
      </c>
      <c r="J36" s="575">
        <v>7485.92</v>
      </c>
      <c r="K36" s="575">
        <f aca="true" t="shared" si="9" ref="K36:K42">L36-J36</f>
        <v>314.0799999999999</v>
      </c>
      <c r="L36" s="575">
        <v>7800</v>
      </c>
      <c r="M36" s="575"/>
      <c r="N36" s="576">
        <v>7800</v>
      </c>
      <c r="O36" s="618">
        <f aca="true" t="shared" si="10" ref="O36:O42">N36-I36</f>
        <v>0</v>
      </c>
      <c r="P36" s="618">
        <v>7800</v>
      </c>
      <c r="Q36" s="619"/>
      <c r="R36" s="589">
        <v>7800</v>
      </c>
      <c r="S36" s="621"/>
      <c r="T36" s="1481">
        <f aca="true" t="shared" si="11" ref="T36:T42">H36+N36</f>
        <v>15285.92</v>
      </c>
      <c r="V36" s="630">
        <f t="shared" si="1"/>
      </c>
    </row>
    <row r="37" spans="1:22" s="617" customFormat="1" ht="27.75" customHeight="1">
      <c r="A37" s="756"/>
      <c r="B37" s="757">
        <v>3</v>
      </c>
      <c r="C37" s="757">
        <v>1</v>
      </c>
      <c r="D37" s="1105">
        <v>234</v>
      </c>
      <c r="E37" s="776">
        <v>101</v>
      </c>
      <c r="F37" s="740" t="s">
        <v>1093</v>
      </c>
      <c r="G37" s="787" t="s">
        <v>1094</v>
      </c>
      <c r="H37" s="574">
        <v>10.26</v>
      </c>
      <c r="I37" s="574"/>
      <c r="J37" s="574">
        <v>2534.1</v>
      </c>
      <c r="K37" s="574">
        <f t="shared" si="9"/>
        <v>0</v>
      </c>
      <c r="L37" s="574">
        <v>2534.1</v>
      </c>
      <c r="M37" s="574"/>
      <c r="N37" s="579"/>
      <c r="O37" s="738">
        <f t="shared" si="10"/>
        <v>0</v>
      </c>
      <c r="P37" s="738"/>
      <c r="Q37" s="619"/>
      <c r="R37" s="574"/>
      <c r="S37" s="624"/>
      <c r="T37" s="1494">
        <f t="shared" si="11"/>
        <v>10.26</v>
      </c>
      <c r="V37" s="630">
        <f t="shared" si="1"/>
      </c>
    </row>
    <row r="38" spans="1:22" s="617" customFormat="1" ht="27.75" customHeight="1">
      <c r="A38" s="756">
        <v>1</v>
      </c>
      <c r="B38" s="757">
        <v>3</v>
      </c>
      <c r="C38" s="757">
        <v>1</v>
      </c>
      <c r="D38" s="1105">
        <v>235</v>
      </c>
      <c r="E38" s="776">
        <v>101</v>
      </c>
      <c r="F38" s="740" t="s">
        <v>96</v>
      </c>
      <c r="G38" s="759" t="s">
        <v>217</v>
      </c>
      <c r="H38" s="579">
        <v>2521.71</v>
      </c>
      <c r="I38" s="579">
        <v>90500</v>
      </c>
      <c r="J38" s="579">
        <v>81750</v>
      </c>
      <c r="K38" s="574">
        <f t="shared" si="9"/>
        <v>0</v>
      </c>
      <c r="L38" s="574">
        <v>81750</v>
      </c>
      <c r="M38" s="574"/>
      <c r="N38" s="574">
        <v>88500</v>
      </c>
      <c r="O38" s="738">
        <f t="shared" si="10"/>
        <v>-2000</v>
      </c>
      <c r="P38" s="1067">
        <v>88500</v>
      </c>
      <c r="Q38" s="575"/>
      <c r="R38" s="574">
        <v>88500</v>
      </c>
      <c r="S38" s="624"/>
      <c r="T38" s="1480">
        <f t="shared" si="11"/>
        <v>91021.71</v>
      </c>
      <c r="V38" s="1230">
        <f t="shared" si="1"/>
      </c>
    </row>
    <row r="39" spans="1:22" s="617" customFormat="1" ht="27.75" customHeight="1">
      <c r="A39" s="761">
        <v>1</v>
      </c>
      <c r="B39" s="762">
        <v>3</v>
      </c>
      <c r="C39" s="762">
        <v>1</v>
      </c>
      <c r="D39" s="1101">
        <v>236</v>
      </c>
      <c r="E39" s="666">
        <v>101</v>
      </c>
      <c r="F39" s="741" t="s">
        <v>97</v>
      </c>
      <c r="G39" s="760" t="s">
        <v>243</v>
      </c>
      <c r="H39" s="576">
        <v>2967.77</v>
      </c>
      <c r="I39" s="576">
        <v>24400</v>
      </c>
      <c r="J39" s="576">
        <v>25576.92</v>
      </c>
      <c r="K39" s="574">
        <f t="shared" si="9"/>
        <v>103.08000000000175</v>
      </c>
      <c r="L39" s="576">
        <v>25680</v>
      </c>
      <c r="M39" s="576"/>
      <c r="N39" s="575">
        <v>23800</v>
      </c>
      <c r="O39" s="738">
        <f t="shared" si="10"/>
        <v>-600</v>
      </c>
      <c r="P39" s="636">
        <v>23800</v>
      </c>
      <c r="Q39" s="636"/>
      <c r="R39" s="575">
        <v>23800</v>
      </c>
      <c r="S39" s="621"/>
      <c r="T39" s="1494">
        <f t="shared" si="11"/>
        <v>26767.77</v>
      </c>
      <c r="V39" s="630">
        <f t="shared" si="1"/>
      </c>
    </row>
    <row r="40" spans="1:22" s="617" customFormat="1" ht="27.75" customHeight="1">
      <c r="A40" s="761">
        <v>1</v>
      </c>
      <c r="B40" s="762">
        <v>3</v>
      </c>
      <c r="C40" s="762">
        <v>1</v>
      </c>
      <c r="D40" s="1101">
        <v>237</v>
      </c>
      <c r="E40" s="666">
        <v>102</v>
      </c>
      <c r="F40" s="741" t="s">
        <v>104</v>
      </c>
      <c r="G40" s="760" t="s">
        <v>231</v>
      </c>
      <c r="H40" s="576">
        <v>1973.67</v>
      </c>
      <c r="I40" s="576">
        <v>7900</v>
      </c>
      <c r="J40" s="576">
        <v>8280</v>
      </c>
      <c r="K40" s="574">
        <f t="shared" si="9"/>
        <v>0</v>
      </c>
      <c r="L40" s="576">
        <v>8280</v>
      </c>
      <c r="M40" s="576"/>
      <c r="N40" s="575">
        <v>7580</v>
      </c>
      <c r="O40" s="738">
        <f t="shared" si="10"/>
        <v>-320</v>
      </c>
      <c r="P40" s="636">
        <v>7580</v>
      </c>
      <c r="Q40" s="636"/>
      <c r="R40" s="575">
        <v>7580</v>
      </c>
      <c r="S40" s="621"/>
      <c r="T40" s="1494">
        <f t="shared" si="11"/>
        <v>9553.67</v>
      </c>
      <c r="V40" s="630">
        <f t="shared" si="1"/>
      </c>
    </row>
    <row r="41" spans="1:22" s="617" customFormat="1" ht="27.75" customHeight="1">
      <c r="A41" s="626">
        <v>1</v>
      </c>
      <c r="B41" s="627">
        <v>3</v>
      </c>
      <c r="C41" s="627">
        <v>1</v>
      </c>
      <c r="D41" s="1104">
        <v>239</v>
      </c>
      <c r="E41" s="665">
        <v>103</v>
      </c>
      <c r="F41" s="628" t="s">
        <v>112</v>
      </c>
      <c r="G41" s="629" t="s">
        <v>494</v>
      </c>
      <c r="H41" s="577">
        <v>5145.9</v>
      </c>
      <c r="I41" s="577">
        <v>6000</v>
      </c>
      <c r="J41" s="577">
        <v>6000</v>
      </c>
      <c r="K41" s="574">
        <f t="shared" si="9"/>
        <v>0</v>
      </c>
      <c r="L41" s="577">
        <v>6000</v>
      </c>
      <c r="M41" s="1161">
        <v>2400</v>
      </c>
      <c r="N41" s="587">
        <v>6000</v>
      </c>
      <c r="O41" s="738">
        <f t="shared" si="10"/>
        <v>0</v>
      </c>
      <c r="P41" s="631">
        <v>6000</v>
      </c>
      <c r="Q41" s="631"/>
      <c r="R41" s="587">
        <v>6000</v>
      </c>
      <c r="S41" s="640"/>
      <c r="T41" s="1494">
        <f t="shared" si="11"/>
        <v>11145.9</v>
      </c>
      <c r="V41" s="630">
        <f t="shared" si="1"/>
      </c>
    </row>
    <row r="42" spans="1:22" s="617" customFormat="1" ht="27.75" customHeight="1">
      <c r="A42" s="626">
        <v>1</v>
      </c>
      <c r="B42" s="627">
        <v>3</v>
      </c>
      <c r="C42" s="627">
        <v>1</v>
      </c>
      <c r="D42" s="1104">
        <v>285</v>
      </c>
      <c r="E42" s="665">
        <v>107</v>
      </c>
      <c r="F42" s="628" t="s">
        <v>116</v>
      </c>
      <c r="G42" s="777" t="s">
        <v>233</v>
      </c>
      <c r="H42" s="577"/>
      <c r="I42" s="577">
        <v>1000</v>
      </c>
      <c r="J42" s="577"/>
      <c r="K42" s="574">
        <f t="shared" si="9"/>
        <v>0</v>
      </c>
      <c r="L42" s="577">
        <v>0</v>
      </c>
      <c r="M42" s="577"/>
      <c r="N42" s="587">
        <v>1000</v>
      </c>
      <c r="O42" s="738">
        <f t="shared" si="10"/>
        <v>0</v>
      </c>
      <c r="P42" s="631">
        <v>1000</v>
      </c>
      <c r="Q42" s="837"/>
      <c r="R42" s="1072">
        <v>1000</v>
      </c>
      <c r="S42" s="640"/>
      <c r="T42" s="1494">
        <f t="shared" si="11"/>
        <v>1000</v>
      </c>
      <c r="V42" s="630">
        <f t="shared" si="1"/>
      </c>
    </row>
    <row r="43" spans="1:22" s="686" customFormat="1" ht="30.75" customHeight="1">
      <c r="A43" s="1276" t="s">
        <v>35</v>
      </c>
      <c r="B43" s="1277"/>
      <c r="C43" s="1277"/>
      <c r="D43" s="1277"/>
      <c r="E43" s="1277"/>
      <c r="F43" s="1277"/>
      <c r="G43" s="1278"/>
      <c r="H43" s="1486">
        <f aca="true" t="shared" si="12" ref="H43:T43">SUM(H36:H42)</f>
        <v>20105.23</v>
      </c>
      <c r="I43" s="580">
        <f t="shared" si="12"/>
        <v>137600</v>
      </c>
      <c r="J43" s="580">
        <f t="shared" si="12"/>
        <v>131626.94</v>
      </c>
      <c r="K43" s="580">
        <f t="shared" si="12"/>
        <v>417.1600000000017</v>
      </c>
      <c r="L43" s="578">
        <f t="shared" si="12"/>
        <v>132044.1</v>
      </c>
      <c r="M43" s="578">
        <f t="shared" si="12"/>
        <v>2400</v>
      </c>
      <c r="N43" s="578">
        <f t="shared" si="12"/>
        <v>134680</v>
      </c>
      <c r="O43" s="578">
        <f t="shared" si="12"/>
        <v>-2920</v>
      </c>
      <c r="P43" s="578">
        <f t="shared" si="12"/>
        <v>134680</v>
      </c>
      <c r="Q43" s="578">
        <f t="shared" si="12"/>
        <v>0</v>
      </c>
      <c r="R43" s="578">
        <f t="shared" si="12"/>
        <v>134680</v>
      </c>
      <c r="S43" s="772">
        <f t="shared" si="12"/>
        <v>0</v>
      </c>
      <c r="T43" s="670">
        <f t="shared" si="12"/>
        <v>154785.23</v>
      </c>
      <c r="V43" s="630">
        <f t="shared" si="1"/>
      </c>
    </row>
    <row r="44" spans="1:22" s="617" customFormat="1" ht="27.75" customHeight="1">
      <c r="A44" s="761">
        <v>1</v>
      </c>
      <c r="B44" s="762">
        <v>4</v>
      </c>
      <c r="C44" s="762">
        <v>1</v>
      </c>
      <c r="D44" s="1101">
        <v>240</v>
      </c>
      <c r="E44" s="666">
        <v>103</v>
      </c>
      <c r="F44" s="741" t="s">
        <v>110</v>
      </c>
      <c r="G44" s="765" t="s">
        <v>959</v>
      </c>
      <c r="H44" s="576">
        <v>3455.87</v>
      </c>
      <c r="I44" s="576">
        <v>20000</v>
      </c>
      <c r="J44" s="576">
        <v>15000</v>
      </c>
      <c r="K44" s="576">
        <f>L44-J44</f>
        <v>0</v>
      </c>
      <c r="L44" s="576">
        <v>15000</v>
      </c>
      <c r="M44" s="576"/>
      <c r="N44" s="575">
        <f>15000-5000</f>
        <v>10000</v>
      </c>
      <c r="O44" s="636">
        <f>N44-I44</f>
        <v>-10000</v>
      </c>
      <c r="P44" s="636">
        <v>10000</v>
      </c>
      <c r="Q44" s="636"/>
      <c r="R44" s="575">
        <v>10000</v>
      </c>
      <c r="S44" s="621"/>
      <c r="T44" s="1493">
        <f>H44+N44</f>
        <v>13455.869999999999</v>
      </c>
      <c r="V44" s="630">
        <f t="shared" si="1"/>
      </c>
    </row>
    <row r="45" spans="1:22" s="617" customFormat="1" ht="27.75" customHeight="1">
      <c r="A45" s="626">
        <v>1</v>
      </c>
      <c r="B45" s="627">
        <v>4</v>
      </c>
      <c r="C45" s="627">
        <v>1</v>
      </c>
      <c r="D45" s="1104">
        <v>241</v>
      </c>
      <c r="E45" s="665">
        <v>103</v>
      </c>
      <c r="F45" s="741" t="s">
        <v>110</v>
      </c>
      <c r="G45" s="629" t="s">
        <v>938</v>
      </c>
      <c r="H45" s="577"/>
      <c r="I45" s="577">
        <v>700</v>
      </c>
      <c r="J45" s="577">
        <v>610</v>
      </c>
      <c r="K45" s="577">
        <f>L45-J45</f>
        <v>90</v>
      </c>
      <c r="L45" s="577">
        <v>700</v>
      </c>
      <c r="M45" s="577"/>
      <c r="N45" s="587"/>
      <c r="O45" s="631">
        <f>N45-I45</f>
        <v>-700</v>
      </c>
      <c r="P45" s="631"/>
      <c r="Q45" s="631"/>
      <c r="R45" s="587"/>
      <c r="S45" s="640"/>
      <c r="T45" s="1495">
        <f>H45+N45</f>
        <v>0</v>
      </c>
      <c r="V45" s="630">
        <f t="shared" si="1"/>
      </c>
    </row>
    <row r="46" spans="1:22" s="617" customFormat="1" ht="27.75" customHeight="1">
      <c r="A46" s="626">
        <v>1</v>
      </c>
      <c r="B46" s="627">
        <v>4</v>
      </c>
      <c r="C46" s="627">
        <v>1</v>
      </c>
      <c r="D46" s="1103">
        <v>245</v>
      </c>
      <c r="E46" s="628">
        <v>110</v>
      </c>
      <c r="F46" s="628" t="s">
        <v>115</v>
      </c>
      <c r="G46" s="775" t="s">
        <v>453</v>
      </c>
      <c r="H46" s="577"/>
      <c r="I46" s="577">
        <v>2000</v>
      </c>
      <c r="J46" s="577">
        <v>2820.14</v>
      </c>
      <c r="K46" s="577">
        <f>L46-J46</f>
        <v>1179.8600000000001</v>
      </c>
      <c r="L46" s="577">
        <v>4000</v>
      </c>
      <c r="M46" s="577"/>
      <c r="N46" s="587">
        <v>4000</v>
      </c>
      <c r="O46" s="631">
        <f>N46-I46</f>
        <v>2000</v>
      </c>
      <c r="P46" s="631">
        <v>4000</v>
      </c>
      <c r="Q46" s="631"/>
      <c r="R46" s="587">
        <v>4000</v>
      </c>
      <c r="S46" s="640"/>
      <c r="T46" s="1495">
        <f>H46+N46</f>
        <v>4000</v>
      </c>
      <c r="V46" s="630">
        <f t="shared" si="1"/>
      </c>
    </row>
    <row r="47" spans="1:22" s="617" customFormat="1" ht="27.75" customHeight="1">
      <c r="A47" s="761">
        <v>1</v>
      </c>
      <c r="B47" s="762">
        <v>4</v>
      </c>
      <c r="C47" s="762">
        <v>1</v>
      </c>
      <c r="D47" s="1101">
        <v>260</v>
      </c>
      <c r="E47" s="666">
        <v>109</v>
      </c>
      <c r="F47" s="741" t="s">
        <v>114</v>
      </c>
      <c r="G47" s="760" t="s">
        <v>232</v>
      </c>
      <c r="H47" s="576">
        <v>2898.19</v>
      </c>
      <c r="I47" s="576">
        <v>6900</v>
      </c>
      <c r="J47" s="576">
        <v>4242.63</v>
      </c>
      <c r="K47" s="577">
        <f>L47-J47</f>
        <v>1657.37</v>
      </c>
      <c r="L47" s="576">
        <v>5900</v>
      </c>
      <c r="M47" s="1162">
        <v>242.63</v>
      </c>
      <c r="N47" s="575">
        <f>6000-1000</f>
        <v>5000</v>
      </c>
      <c r="O47" s="631">
        <f>N47-I47</f>
        <v>-1900</v>
      </c>
      <c r="P47" s="636">
        <v>5000</v>
      </c>
      <c r="Q47" s="636"/>
      <c r="R47" s="575">
        <v>5000</v>
      </c>
      <c r="S47" s="621"/>
      <c r="T47" s="1495">
        <f>H47+N47</f>
        <v>7898.1900000000005</v>
      </c>
      <c r="V47" s="630">
        <f t="shared" si="1"/>
      </c>
    </row>
    <row r="48" spans="1:22" s="617" customFormat="1" ht="32.25" customHeight="1">
      <c r="A48" s="1276" t="s">
        <v>36</v>
      </c>
      <c r="B48" s="1277"/>
      <c r="C48" s="1277"/>
      <c r="D48" s="1277"/>
      <c r="E48" s="1277"/>
      <c r="F48" s="1277"/>
      <c r="G48" s="1278"/>
      <c r="H48" s="1486">
        <f aca="true" t="shared" si="13" ref="H48:T48">SUM(H44:H47)</f>
        <v>6354.0599999999995</v>
      </c>
      <c r="I48" s="580">
        <f t="shared" si="13"/>
        <v>29600</v>
      </c>
      <c r="J48" s="580">
        <f t="shared" si="13"/>
        <v>22672.77</v>
      </c>
      <c r="K48" s="580">
        <f t="shared" si="13"/>
        <v>2927.23</v>
      </c>
      <c r="L48" s="580">
        <f t="shared" si="13"/>
        <v>25600</v>
      </c>
      <c r="M48" s="580">
        <f t="shared" si="13"/>
        <v>242.63</v>
      </c>
      <c r="N48" s="580">
        <f t="shared" si="13"/>
        <v>19000</v>
      </c>
      <c r="O48" s="580">
        <f t="shared" si="13"/>
        <v>-10600</v>
      </c>
      <c r="P48" s="580">
        <f t="shared" si="13"/>
        <v>19000</v>
      </c>
      <c r="Q48" s="612">
        <f t="shared" si="13"/>
        <v>0</v>
      </c>
      <c r="R48" s="612">
        <f t="shared" si="13"/>
        <v>19000</v>
      </c>
      <c r="S48" s="612">
        <f t="shared" si="13"/>
        <v>0</v>
      </c>
      <c r="T48" s="613">
        <f t="shared" si="13"/>
        <v>25354.059999999998</v>
      </c>
      <c r="V48" s="630">
        <f t="shared" si="1"/>
      </c>
    </row>
    <row r="49" spans="1:22" s="617" customFormat="1" ht="27.75" customHeight="1">
      <c r="A49" s="761">
        <v>1</v>
      </c>
      <c r="B49" s="762">
        <v>5</v>
      </c>
      <c r="C49" s="762">
        <v>1</v>
      </c>
      <c r="D49" s="1101">
        <v>150</v>
      </c>
      <c r="E49" s="666">
        <v>103</v>
      </c>
      <c r="F49" s="741" t="s">
        <v>108</v>
      </c>
      <c r="G49" s="760" t="s">
        <v>181</v>
      </c>
      <c r="H49" s="576">
        <v>41278.31</v>
      </c>
      <c r="I49" s="576">
        <v>61300</v>
      </c>
      <c r="J49" s="576">
        <v>91365.54</v>
      </c>
      <c r="K49" s="576">
        <f aca="true" t="shared" si="14" ref="K49:K54">L49-J49</f>
        <v>0</v>
      </c>
      <c r="L49" s="576">
        <v>91365.54</v>
      </c>
      <c r="M49" s="576"/>
      <c r="N49" s="576">
        <f>90000-5000</f>
        <v>85000</v>
      </c>
      <c r="O49" s="618">
        <f aca="true" t="shared" si="15" ref="O49:O54">N49-I49</f>
        <v>23700</v>
      </c>
      <c r="P49" s="618">
        <v>85000</v>
      </c>
      <c r="Q49" s="618"/>
      <c r="R49" s="576">
        <v>85000</v>
      </c>
      <c r="S49" s="621"/>
      <c r="T49" s="1481">
        <f aca="true" t="shared" si="16" ref="T49:T54">H49+N49</f>
        <v>126278.31</v>
      </c>
      <c r="V49" s="630">
        <f t="shared" si="1"/>
      </c>
    </row>
    <row r="50" spans="1:22" s="617" customFormat="1" ht="27.75" customHeight="1">
      <c r="A50" s="761">
        <v>1</v>
      </c>
      <c r="B50" s="762">
        <v>5</v>
      </c>
      <c r="C50" s="762">
        <v>1</v>
      </c>
      <c r="D50" s="1102" t="s">
        <v>467</v>
      </c>
      <c r="E50" s="741">
        <v>103</v>
      </c>
      <c r="F50" s="741" t="s">
        <v>106</v>
      </c>
      <c r="G50" s="760" t="s">
        <v>468</v>
      </c>
      <c r="H50" s="576">
        <v>10104.24</v>
      </c>
      <c r="I50" s="576">
        <v>19000</v>
      </c>
      <c r="J50" s="576">
        <v>19000</v>
      </c>
      <c r="K50" s="576">
        <f t="shared" si="14"/>
        <v>0</v>
      </c>
      <c r="L50" s="576">
        <v>19000</v>
      </c>
      <c r="M50" s="1162">
        <v>4460</v>
      </c>
      <c r="N50" s="575">
        <v>19000</v>
      </c>
      <c r="O50" s="618">
        <f t="shared" si="15"/>
        <v>0</v>
      </c>
      <c r="P50" s="618">
        <v>19000</v>
      </c>
      <c r="Q50" s="618"/>
      <c r="R50" s="576">
        <v>19000</v>
      </c>
      <c r="S50" s="621"/>
      <c r="T50" s="1481">
        <f t="shared" si="16"/>
        <v>29104.239999999998</v>
      </c>
      <c r="V50" s="630">
        <f t="shared" si="1"/>
      </c>
    </row>
    <row r="51" spans="1:22" s="617" customFormat="1" ht="27.75" customHeight="1">
      <c r="A51" s="761">
        <v>1</v>
      </c>
      <c r="B51" s="762">
        <v>5</v>
      </c>
      <c r="C51" s="762">
        <v>1</v>
      </c>
      <c r="D51" s="1101">
        <v>270</v>
      </c>
      <c r="E51" s="666">
        <v>103</v>
      </c>
      <c r="F51" s="741" t="s">
        <v>109</v>
      </c>
      <c r="G51" s="760" t="s">
        <v>469</v>
      </c>
      <c r="H51" s="576">
        <v>4768.15</v>
      </c>
      <c r="I51" s="576">
        <v>10000</v>
      </c>
      <c r="J51" s="576">
        <v>8739</v>
      </c>
      <c r="K51" s="576">
        <f t="shared" si="14"/>
        <v>261</v>
      </c>
      <c r="L51" s="576">
        <v>9000</v>
      </c>
      <c r="M51" s="576"/>
      <c r="N51" s="576">
        <f>9000-1000</f>
        <v>8000</v>
      </c>
      <c r="O51" s="618">
        <f t="shared" si="15"/>
        <v>-2000</v>
      </c>
      <c r="P51" s="618">
        <v>8000</v>
      </c>
      <c r="Q51" s="618"/>
      <c r="R51" s="576">
        <v>8000</v>
      </c>
      <c r="S51" s="621"/>
      <c r="T51" s="1493">
        <f t="shared" si="16"/>
        <v>12768.15</v>
      </c>
      <c r="V51" s="630">
        <f t="shared" si="1"/>
      </c>
    </row>
    <row r="52" spans="1:22" s="617" customFormat="1" ht="27.75" customHeight="1">
      <c r="A52" s="756">
        <v>1</v>
      </c>
      <c r="B52" s="757">
        <v>5</v>
      </c>
      <c r="C52" s="757">
        <v>1</v>
      </c>
      <c r="D52" s="1105">
        <v>290</v>
      </c>
      <c r="E52" s="776">
        <v>102</v>
      </c>
      <c r="F52" s="740" t="s">
        <v>7</v>
      </c>
      <c r="G52" s="759" t="s">
        <v>248</v>
      </c>
      <c r="H52" s="579">
        <v>3919.93</v>
      </c>
      <c r="I52" s="579">
        <v>3000</v>
      </c>
      <c r="J52" s="579">
        <v>1469.43</v>
      </c>
      <c r="K52" s="576">
        <f t="shared" si="14"/>
        <v>1530.57</v>
      </c>
      <c r="L52" s="579">
        <v>3000</v>
      </c>
      <c r="M52" s="579"/>
      <c r="N52" s="579">
        <v>3000</v>
      </c>
      <c r="O52" s="618">
        <f t="shared" si="15"/>
        <v>0</v>
      </c>
      <c r="P52" s="738">
        <v>3000</v>
      </c>
      <c r="Q52" s="618"/>
      <c r="R52" s="579">
        <v>3000</v>
      </c>
      <c r="S52" s="624"/>
      <c r="T52" s="1493">
        <f t="shared" si="16"/>
        <v>6919.93</v>
      </c>
      <c r="V52" s="630">
        <f t="shared" si="1"/>
      </c>
    </row>
    <row r="53" spans="1:22" s="617" customFormat="1" ht="27.75" customHeight="1">
      <c r="A53" s="761">
        <v>1</v>
      </c>
      <c r="B53" s="762">
        <v>5</v>
      </c>
      <c r="C53" s="762">
        <v>1</v>
      </c>
      <c r="D53" s="1101">
        <v>320</v>
      </c>
      <c r="E53" s="666">
        <v>103</v>
      </c>
      <c r="F53" s="741" t="s">
        <v>111</v>
      </c>
      <c r="G53" s="760" t="s">
        <v>470</v>
      </c>
      <c r="H53" s="576">
        <v>2447.05</v>
      </c>
      <c r="I53" s="576">
        <v>1000</v>
      </c>
      <c r="J53" s="576">
        <v>0</v>
      </c>
      <c r="K53" s="576">
        <f t="shared" si="14"/>
        <v>1000</v>
      </c>
      <c r="L53" s="576">
        <v>1000</v>
      </c>
      <c r="M53" s="1162">
        <v>1000</v>
      </c>
      <c r="N53" s="576">
        <v>1000</v>
      </c>
      <c r="O53" s="618">
        <f t="shared" si="15"/>
        <v>0</v>
      </c>
      <c r="P53" s="618">
        <v>1000</v>
      </c>
      <c r="Q53" s="618"/>
      <c r="R53" s="576">
        <v>1000</v>
      </c>
      <c r="S53" s="621"/>
      <c r="T53" s="1493">
        <f t="shared" si="16"/>
        <v>3447.05</v>
      </c>
      <c r="V53" s="630">
        <f t="shared" si="1"/>
      </c>
    </row>
    <row r="54" spans="1:22" s="617" customFormat="1" ht="27.75" customHeight="1">
      <c r="A54" s="761">
        <v>1</v>
      </c>
      <c r="B54" s="762">
        <v>5</v>
      </c>
      <c r="C54" s="762">
        <v>1</v>
      </c>
      <c r="D54" s="1101">
        <v>330</v>
      </c>
      <c r="E54" s="666">
        <v>103</v>
      </c>
      <c r="F54" s="741" t="s">
        <v>111</v>
      </c>
      <c r="G54" s="760" t="s">
        <v>471</v>
      </c>
      <c r="H54" s="576">
        <v>24605.05</v>
      </c>
      <c r="I54" s="576">
        <v>10000</v>
      </c>
      <c r="J54" s="576">
        <v>15000</v>
      </c>
      <c r="K54" s="576">
        <f t="shared" si="14"/>
        <v>0</v>
      </c>
      <c r="L54" s="576">
        <v>15000</v>
      </c>
      <c r="M54" s="1162">
        <v>15910.56</v>
      </c>
      <c r="N54" s="576">
        <v>15000</v>
      </c>
      <c r="O54" s="618">
        <f t="shared" si="15"/>
        <v>5000</v>
      </c>
      <c r="P54" s="618">
        <v>15000</v>
      </c>
      <c r="Q54" s="618"/>
      <c r="R54" s="576">
        <v>15000</v>
      </c>
      <c r="S54" s="621"/>
      <c r="T54" s="1493">
        <f t="shared" si="16"/>
        <v>39605.05</v>
      </c>
      <c r="V54" s="630">
        <f t="shared" si="1"/>
      </c>
    </row>
    <row r="55" spans="1:22" s="686" customFormat="1" ht="30.75" customHeight="1">
      <c r="A55" s="1276" t="s">
        <v>37</v>
      </c>
      <c r="B55" s="1277"/>
      <c r="C55" s="1277"/>
      <c r="D55" s="1277"/>
      <c r="E55" s="1277"/>
      <c r="F55" s="1277"/>
      <c r="G55" s="1278"/>
      <c r="H55" s="1486">
        <f aca="true" t="shared" si="17" ref="H55:T55">SUM(H49:H54)</f>
        <v>87122.73</v>
      </c>
      <c r="I55" s="580">
        <f t="shared" si="17"/>
        <v>104300</v>
      </c>
      <c r="J55" s="580">
        <f t="shared" si="17"/>
        <v>135573.96999999997</v>
      </c>
      <c r="K55" s="580">
        <f t="shared" si="17"/>
        <v>2791.5699999999997</v>
      </c>
      <c r="L55" s="578">
        <f t="shared" si="17"/>
        <v>138365.53999999998</v>
      </c>
      <c r="M55" s="578">
        <f t="shared" si="17"/>
        <v>21370.559999999998</v>
      </c>
      <c r="N55" s="578">
        <f t="shared" si="17"/>
        <v>131000</v>
      </c>
      <c r="O55" s="578">
        <f t="shared" si="17"/>
        <v>26700</v>
      </c>
      <c r="P55" s="578">
        <f t="shared" si="17"/>
        <v>131000</v>
      </c>
      <c r="Q55" s="772">
        <f t="shared" si="17"/>
        <v>0</v>
      </c>
      <c r="R55" s="772">
        <f t="shared" si="17"/>
        <v>131000</v>
      </c>
      <c r="S55" s="772">
        <f t="shared" si="17"/>
        <v>0</v>
      </c>
      <c r="T55" s="670">
        <f t="shared" si="17"/>
        <v>218122.72999999998</v>
      </c>
      <c r="V55" s="630">
        <f t="shared" si="1"/>
      </c>
    </row>
    <row r="56" spans="1:22" s="617" customFormat="1" ht="27.75" customHeight="1">
      <c r="A56" s="756">
        <v>1</v>
      </c>
      <c r="B56" s="757">
        <v>6</v>
      </c>
      <c r="C56" s="757">
        <v>1</v>
      </c>
      <c r="D56" s="1105">
        <v>300</v>
      </c>
      <c r="E56" s="776">
        <v>101</v>
      </c>
      <c r="F56" s="740" t="s">
        <v>96</v>
      </c>
      <c r="G56" s="759" t="s">
        <v>234</v>
      </c>
      <c r="H56" s="579">
        <v>5672</v>
      </c>
      <c r="I56" s="579">
        <v>117700</v>
      </c>
      <c r="J56" s="579">
        <v>109091</v>
      </c>
      <c r="K56" s="579">
        <f>L56-J56</f>
        <v>11319</v>
      </c>
      <c r="L56" s="579">
        <v>120410</v>
      </c>
      <c r="M56" s="579"/>
      <c r="N56" s="574">
        <v>119500</v>
      </c>
      <c r="O56" s="1067">
        <f>N56-I56</f>
        <v>1800</v>
      </c>
      <c r="P56" s="1067">
        <v>115500</v>
      </c>
      <c r="Q56" s="633"/>
      <c r="R56" s="574">
        <v>115500</v>
      </c>
      <c r="S56" s="624"/>
      <c r="T56" s="1496">
        <f aca="true" t="shared" si="18" ref="T56:T63">H56+N56</f>
        <v>125172</v>
      </c>
      <c r="V56" s="630">
        <f t="shared" si="1"/>
      </c>
    </row>
    <row r="57" spans="1:22" s="617" customFormat="1" ht="27.75" customHeight="1">
      <c r="A57" s="756">
        <v>1</v>
      </c>
      <c r="B57" s="757">
        <v>6</v>
      </c>
      <c r="C57" s="757">
        <v>1</v>
      </c>
      <c r="D57" s="1105">
        <v>301</v>
      </c>
      <c r="E57" s="776">
        <v>101</v>
      </c>
      <c r="F57" s="740" t="s">
        <v>1093</v>
      </c>
      <c r="G57" s="787" t="s">
        <v>1094</v>
      </c>
      <c r="H57" s="579"/>
      <c r="I57" s="579"/>
      <c r="J57" s="579">
        <v>4087.7</v>
      </c>
      <c r="K57" s="579">
        <f>L57-J57</f>
        <v>0</v>
      </c>
      <c r="L57" s="579">
        <v>4087.7</v>
      </c>
      <c r="M57" s="579"/>
      <c r="N57" s="574"/>
      <c r="O57" s="1067">
        <f>N57-I57</f>
        <v>0</v>
      </c>
      <c r="P57" s="1067"/>
      <c r="Q57" s="1067"/>
      <c r="R57" s="574"/>
      <c r="S57" s="624"/>
      <c r="T57" s="1493">
        <f t="shared" si="18"/>
        <v>0</v>
      </c>
      <c r="V57" s="630">
        <f t="shared" si="1"/>
      </c>
    </row>
    <row r="58" spans="1:22" s="617" customFormat="1" ht="27.75" customHeight="1">
      <c r="A58" s="761">
        <v>1</v>
      </c>
      <c r="B58" s="762">
        <v>6</v>
      </c>
      <c r="C58" s="762">
        <v>1</v>
      </c>
      <c r="D58" s="1102">
        <v>305</v>
      </c>
      <c r="E58" s="741">
        <v>103</v>
      </c>
      <c r="F58" s="741" t="s">
        <v>98</v>
      </c>
      <c r="G58" s="759" t="s">
        <v>172</v>
      </c>
      <c r="H58" s="576">
        <v>789.95</v>
      </c>
      <c r="I58" s="576">
        <v>1000</v>
      </c>
      <c r="J58" s="576">
        <v>0</v>
      </c>
      <c r="K58" s="579">
        <f aca="true" t="shared" si="19" ref="K58:K63">L58-J58</f>
        <v>1000</v>
      </c>
      <c r="L58" s="576">
        <v>1000</v>
      </c>
      <c r="M58" s="576"/>
      <c r="N58" s="575">
        <v>1000</v>
      </c>
      <c r="O58" s="1067">
        <f aca="true" t="shared" si="20" ref="O58:O63">N58-I58</f>
        <v>0</v>
      </c>
      <c r="P58" s="636">
        <v>1000</v>
      </c>
      <c r="Q58" s="636"/>
      <c r="R58" s="575">
        <v>1000</v>
      </c>
      <c r="S58" s="621"/>
      <c r="T58" s="1493">
        <f t="shared" si="18"/>
        <v>1789.95</v>
      </c>
      <c r="V58" s="630">
        <f t="shared" si="1"/>
      </c>
    </row>
    <row r="59" spans="1:22" s="617" customFormat="1" ht="27.75" customHeight="1">
      <c r="A59" s="761">
        <v>1</v>
      </c>
      <c r="B59" s="762">
        <v>6</v>
      </c>
      <c r="C59" s="762">
        <v>1</v>
      </c>
      <c r="D59" s="1101">
        <v>310</v>
      </c>
      <c r="E59" s="666">
        <v>101</v>
      </c>
      <c r="F59" s="741" t="s">
        <v>97</v>
      </c>
      <c r="G59" s="760" t="s">
        <v>244</v>
      </c>
      <c r="H59" s="576">
        <v>661.38</v>
      </c>
      <c r="I59" s="576">
        <v>28300</v>
      </c>
      <c r="J59" s="576">
        <v>30210</v>
      </c>
      <c r="K59" s="579">
        <f t="shared" si="19"/>
        <v>0</v>
      </c>
      <c r="L59" s="576">
        <v>30210</v>
      </c>
      <c r="M59" s="576"/>
      <c r="N59" s="575">
        <v>32150</v>
      </c>
      <c r="O59" s="1067">
        <f t="shared" si="20"/>
        <v>3850</v>
      </c>
      <c r="P59" s="636">
        <v>31150</v>
      </c>
      <c r="Q59" s="636"/>
      <c r="R59" s="575">
        <v>31150</v>
      </c>
      <c r="S59" s="621"/>
      <c r="T59" s="1493">
        <f t="shared" si="18"/>
        <v>32811.38</v>
      </c>
      <c r="V59" s="630">
        <f t="shared" si="1"/>
      </c>
    </row>
    <row r="60" spans="1:22" s="603" customFormat="1" ht="27.75" customHeight="1">
      <c r="A60" s="761">
        <v>1</v>
      </c>
      <c r="B60" s="762">
        <v>6</v>
      </c>
      <c r="C60" s="762">
        <v>1</v>
      </c>
      <c r="D60" s="1101">
        <v>315</v>
      </c>
      <c r="E60" s="666">
        <v>102</v>
      </c>
      <c r="F60" s="741" t="s">
        <v>104</v>
      </c>
      <c r="G60" s="784" t="s">
        <v>235</v>
      </c>
      <c r="H60" s="735">
        <v>354.71</v>
      </c>
      <c r="I60" s="735">
        <v>9100</v>
      </c>
      <c r="J60" s="735">
        <v>9690</v>
      </c>
      <c r="K60" s="579">
        <f t="shared" si="19"/>
        <v>0</v>
      </c>
      <c r="L60" s="735">
        <v>9690</v>
      </c>
      <c r="M60" s="735"/>
      <c r="N60" s="575">
        <v>10200</v>
      </c>
      <c r="O60" s="1067">
        <f t="shared" si="20"/>
        <v>1100</v>
      </c>
      <c r="P60" s="636">
        <v>9870</v>
      </c>
      <c r="Q60" s="636"/>
      <c r="R60" s="575">
        <v>9870</v>
      </c>
      <c r="S60" s="781"/>
      <c r="T60" s="1493">
        <f t="shared" si="18"/>
        <v>10554.71</v>
      </c>
      <c r="V60" s="630">
        <f t="shared" si="1"/>
      </c>
    </row>
    <row r="61" spans="1:22" s="603" customFormat="1" ht="33" customHeight="1">
      <c r="A61" s="761">
        <v>1</v>
      </c>
      <c r="B61" s="762">
        <v>6</v>
      </c>
      <c r="C61" s="762">
        <v>1</v>
      </c>
      <c r="D61" s="1101">
        <v>316</v>
      </c>
      <c r="E61" s="666">
        <v>101</v>
      </c>
      <c r="F61" s="948" t="s">
        <v>880</v>
      </c>
      <c r="G61" s="1051" t="s">
        <v>960</v>
      </c>
      <c r="H61" s="994"/>
      <c r="I61" s="735">
        <v>5590.93</v>
      </c>
      <c r="J61" s="735">
        <v>1212.23</v>
      </c>
      <c r="K61" s="579">
        <f t="shared" si="19"/>
        <v>4378.700000000001</v>
      </c>
      <c r="L61" s="575">
        <v>5590.93</v>
      </c>
      <c r="M61" s="735"/>
      <c r="N61" s="575">
        <v>5590.93</v>
      </c>
      <c r="O61" s="1067">
        <f t="shared" si="20"/>
        <v>0</v>
      </c>
      <c r="P61" s="575">
        <v>5590.93</v>
      </c>
      <c r="Q61" s="575"/>
      <c r="R61" s="575">
        <v>5590.93</v>
      </c>
      <c r="S61" s="781"/>
      <c r="T61" s="1493">
        <f t="shared" si="18"/>
        <v>5590.93</v>
      </c>
      <c r="V61" s="630">
        <f t="shared" si="1"/>
      </c>
    </row>
    <row r="62" spans="1:22" s="603" customFormat="1" ht="37.5" customHeight="1">
      <c r="A62" s="761">
        <v>1</v>
      </c>
      <c r="B62" s="762">
        <v>6</v>
      </c>
      <c r="C62" s="762">
        <v>1</v>
      </c>
      <c r="D62" s="1101">
        <v>317</v>
      </c>
      <c r="E62" s="666">
        <v>101</v>
      </c>
      <c r="F62" s="948" t="s">
        <v>881</v>
      </c>
      <c r="G62" s="1051" t="s">
        <v>961</v>
      </c>
      <c r="H62" s="782">
        <v>1018.86</v>
      </c>
      <c r="I62" s="735">
        <v>3193.07</v>
      </c>
      <c r="J62" s="735">
        <v>494.2</v>
      </c>
      <c r="K62" s="579">
        <f t="shared" si="19"/>
        <v>2698.8700000000003</v>
      </c>
      <c r="L62" s="575">
        <v>3193.07</v>
      </c>
      <c r="M62" s="735"/>
      <c r="N62" s="575">
        <v>3193.07</v>
      </c>
      <c r="O62" s="1067">
        <f t="shared" si="20"/>
        <v>0</v>
      </c>
      <c r="P62" s="575">
        <v>3193.07</v>
      </c>
      <c r="Q62" s="575"/>
      <c r="R62" s="575">
        <v>3193.07</v>
      </c>
      <c r="S62" s="781"/>
      <c r="T62" s="1493">
        <f t="shared" si="18"/>
        <v>4211.93</v>
      </c>
      <c r="V62" s="630">
        <f t="shared" si="1"/>
      </c>
    </row>
    <row r="63" spans="1:22" s="603" customFormat="1" ht="36" customHeight="1">
      <c r="A63" s="761">
        <v>1</v>
      </c>
      <c r="B63" s="762">
        <v>6</v>
      </c>
      <c r="C63" s="762">
        <v>1</v>
      </c>
      <c r="D63" s="1101">
        <v>318</v>
      </c>
      <c r="E63" s="666">
        <v>102</v>
      </c>
      <c r="F63" s="948" t="s">
        <v>881</v>
      </c>
      <c r="G63" s="1051" t="s">
        <v>962</v>
      </c>
      <c r="H63" s="782">
        <v>168.92</v>
      </c>
      <c r="I63" s="735">
        <v>816</v>
      </c>
      <c r="J63" s="735">
        <v>136.95</v>
      </c>
      <c r="K63" s="579">
        <f t="shared" si="19"/>
        <v>679.05</v>
      </c>
      <c r="L63" s="575">
        <v>816</v>
      </c>
      <c r="M63" s="735"/>
      <c r="N63" s="575">
        <v>816</v>
      </c>
      <c r="O63" s="1067">
        <f t="shared" si="20"/>
        <v>0</v>
      </c>
      <c r="P63" s="575">
        <v>816</v>
      </c>
      <c r="Q63" s="575"/>
      <c r="R63" s="575">
        <v>816</v>
      </c>
      <c r="S63" s="781"/>
      <c r="T63" s="1493">
        <f t="shared" si="18"/>
        <v>984.92</v>
      </c>
      <c r="V63" s="630">
        <f t="shared" si="1"/>
      </c>
    </row>
    <row r="64" spans="1:22" s="686" customFormat="1" ht="21" customHeight="1">
      <c r="A64" s="1276" t="s">
        <v>38</v>
      </c>
      <c r="B64" s="1277"/>
      <c r="C64" s="1277"/>
      <c r="D64" s="1277"/>
      <c r="E64" s="1277"/>
      <c r="F64" s="1277"/>
      <c r="G64" s="1278"/>
      <c r="H64" s="1486">
        <f aca="true" t="shared" si="21" ref="H64:T64">SUM(H56:H63)</f>
        <v>8665.82</v>
      </c>
      <c r="I64" s="580">
        <f t="shared" si="21"/>
        <v>165700</v>
      </c>
      <c r="J64" s="580">
        <f t="shared" si="21"/>
        <v>154922.08000000005</v>
      </c>
      <c r="K64" s="580">
        <f t="shared" si="21"/>
        <v>20075.62</v>
      </c>
      <c r="L64" s="578">
        <f t="shared" si="21"/>
        <v>174997.7</v>
      </c>
      <c r="M64" s="578">
        <f t="shared" si="21"/>
        <v>0</v>
      </c>
      <c r="N64" s="578">
        <f t="shared" si="21"/>
        <v>172450</v>
      </c>
      <c r="O64" s="578">
        <f t="shared" si="21"/>
        <v>6750</v>
      </c>
      <c r="P64" s="578">
        <f t="shared" si="21"/>
        <v>167120</v>
      </c>
      <c r="Q64" s="772">
        <f t="shared" si="21"/>
        <v>0</v>
      </c>
      <c r="R64" s="772">
        <f t="shared" si="21"/>
        <v>167120</v>
      </c>
      <c r="S64" s="772">
        <f t="shared" si="21"/>
        <v>0</v>
      </c>
      <c r="T64" s="670">
        <f t="shared" si="21"/>
        <v>181115.81999999998</v>
      </c>
      <c r="V64" s="630">
        <f t="shared" si="1"/>
      </c>
    </row>
    <row r="65" spans="1:22" s="603" customFormat="1" ht="27.75" customHeight="1">
      <c r="A65" s="756">
        <v>1</v>
      </c>
      <c r="B65" s="757">
        <v>7</v>
      </c>
      <c r="C65" s="757">
        <v>1</v>
      </c>
      <c r="D65" s="1105">
        <v>354</v>
      </c>
      <c r="E65" s="776">
        <v>101</v>
      </c>
      <c r="F65" s="740" t="s">
        <v>1093</v>
      </c>
      <c r="G65" s="787" t="s">
        <v>1094</v>
      </c>
      <c r="H65" s="581"/>
      <c r="I65" s="581"/>
      <c r="J65" s="581">
        <v>2038.63</v>
      </c>
      <c r="K65" s="581">
        <f>L65-J65</f>
        <v>0</v>
      </c>
      <c r="L65" s="581">
        <v>2038.63</v>
      </c>
      <c r="M65" s="581"/>
      <c r="N65" s="574"/>
      <c r="O65" s="1067">
        <f>N65-I65</f>
        <v>0</v>
      </c>
      <c r="P65" s="1067"/>
      <c r="Q65" s="1073"/>
      <c r="R65" s="574"/>
      <c r="S65" s="634"/>
      <c r="T65" s="1497">
        <f aca="true" t="shared" si="22" ref="T65:T72">H65+N65</f>
        <v>0</v>
      </c>
      <c r="V65" s="630">
        <f t="shared" si="1"/>
      </c>
    </row>
    <row r="66" spans="1:22" s="603" customFormat="1" ht="27.75" customHeight="1">
      <c r="A66" s="756">
        <v>1</v>
      </c>
      <c r="B66" s="757">
        <v>7</v>
      </c>
      <c r="C66" s="757">
        <v>1</v>
      </c>
      <c r="D66" s="1105">
        <v>355</v>
      </c>
      <c r="E66" s="776">
        <v>101</v>
      </c>
      <c r="F66" s="740" t="s">
        <v>96</v>
      </c>
      <c r="G66" s="787" t="s">
        <v>939</v>
      </c>
      <c r="H66" s="581">
        <v>2567.03</v>
      </c>
      <c r="I66" s="581">
        <v>51400</v>
      </c>
      <c r="J66" s="581">
        <v>52620.59</v>
      </c>
      <c r="K66" s="581">
        <f>L66-J66</f>
        <v>229.4100000000035</v>
      </c>
      <c r="L66" s="581">
        <v>52850</v>
      </c>
      <c r="M66" s="581"/>
      <c r="N66" s="574">
        <v>52350</v>
      </c>
      <c r="O66" s="1067">
        <f>N66-I66</f>
        <v>950</v>
      </c>
      <c r="P66" s="1067">
        <v>52350</v>
      </c>
      <c r="Q66" s="575"/>
      <c r="R66" s="574">
        <v>52350</v>
      </c>
      <c r="S66" s="634"/>
      <c r="T66" s="1497">
        <f>H66+N66</f>
        <v>54917.03</v>
      </c>
      <c r="V66" s="630">
        <f t="shared" si="1"/>
      </c>
    </row>
    <row r="67" spans="1:22" s="603" customFormat="1" ht="27.75" customHeight="1">
      <c r="A67" s="756">
        <v>1</v>
      </c>
      <c r="B67" s="757">
        <v>7</v>
      </c>
      <c r="C67" s="757">
        <v>1</v>
      </c>
      <c r="D67" s="1105">
        <v>356</v>
      </c>
      <c r="E67" s="776">
        <v>101</v>
      </c>
      <c r="F67" s="740" t="s">
        <v>97</v>
      </c>
      <c r="G67" s="787" t="s">
        <v>940</v>
      </c>
      <c r="H67" s="735"/>
      <c r="I67" s="735">
        <v>14100</v>
      </c>
      <c r="J67" s="735">
        <v>14400</v>
      </c>
      <c r="K67" s="581">
        <f aca="true" t="shared" si="23" ref="K67:K72">L67-J67</f>
        <v>693</v>
      </c>
      <c r="L67" s="735">
        <v>15093</v>
      </c>
      <c r="M67" s="735"/>
      <c r="N67" s="575">
        <v>14340</v>
      </c>
      <c r="O67" s="1067">
        <f aca="true" t="shared" si="24" ref="O67:O72">N67-I67</f>
        <v>240</v>
      </c>
      <c r="P67" s="636">
        <v>14340</v>
      </c>
      <c r="Q67" s="636"/>
      <c r="R67" s="575">
        <v>14340</v>
      </c>
      <c r="S67" s="637"/>
      <c r="T67" s="1498">
        <f t="shared" si="22"/>
        <v>14340</v>
      </c>
      <c r="V67" s="630">
        <f t="shared" si="1"/>
      </c>
    </row>
    <row r="68" spans="1:22" s="603" customFormat="1" ht="27.75" customHeight="1">
      <c r="A68" s="761">
        <v>1</v>
      </c>
      <c r="B68" s="762">
        <v>7</v>
      </c>
      <c r="C68" s="762">
        <v>1</v>
      </c>
      <c r="D68" s="1101">
        <v>357</v>
      </c>
      <c r="E68" s="666">
        <v>102</v>
      </c>
      <c r="F68" s="741" t="s">
        <v>104</v>
      </c>
      <c r="G68" s="765" t="s">
        <v>941</v>
      </c>
      <c r="H68" s="735">
        <v>123.54</v>
      </c>
      <c r="I68" s="735">
        <v>4500</v>
      </c>
      <c r="J68" s="735">
        <v>4600</v>
      </c>
      <c r="K68" s="581">
        <f t="shared" si="23"/>
        <v>206</v>
      </c>
      <c r="L68" s="735">
        <v>4806</v>
      </c>
      <c r="M68" s="735"/>
      <c r="N68" s="575">
        <v>4520</v>
      </c>
      <c r="O68" s="1067">
        <f t="shared" si="24"/>
        <v>20</v>
      </c>
      <c r="P68" s="636">
        <v>4520</v>
      </c>
      <c r="Q68" s="636"/>
      <c r="R68" s="575">
        <v>4520</v>
      </c>
      <c r="S68" s="637"/>
      <c r="T68" s="1498">
        <f t="shared" si="22"/>
        <v>4643.54</v>
      </c>
      <c r="V68" s="630">
        <f t="shared" si="1"/>
      </c>
    </row>
    <row r="69" spans="1:22" s="603" customFormat="1" ht="27.75" customHeight="1">
      <c r="A69" s="626">
        <v>1</v>
      </c>
      <c r="B69" s="627">
        <v>7</v>
      </c>
      <c r="C69" s="627">
        <v>1</v>
      </c>
      <c r="D69" s="1104">
        <v>358</v>
      </c>
      <c r="E69" s="665">
        <v>103</v>
      </c>
      <c r="F69" s="628" t="s">
        <v>870</v>
      </c>
      <c r="G69" s="629" t="s">
        <v>586</v>
      </c>
      <c r="H69" s="582">
        <v>11682.6</v>
      </c>
      <c r="I69" s="582">
        <v>20000</v>
      </c>
      <c r="J69" s="582">
        <v>19999</v>
      </c>
      <c r="K69" s="581">
        <f t="shared" si="23"/>
        <v>1</v>
      </c>
      <c r="L69" s="582">
        <v>20000</v>
      </c>
      <c r="M69" s="582"/>
      <c r="N69" s="587">
        <v>15000</v>
      </c>
      <c r="O69" s="1067">
        <f t="shared" si="24"/>
        <v>-5000</v>
      </c>
      <c r="P69" s="631">
        <v>15000</v>
      </c>
      <c r="Q69" s="631"/>
      <c r="R69" s="587">
        <v>15000</v>
      </c>
      <c r="S69" s="632"/>
      <c r="T69" s="1498">
        <f t="shared" si="22"/>
        <v>26682.6</v>
      </c>
      <c r="V69" s="630">
        <f t="shared" si="1"/>
      </c>
    </row>
    <row r="70" spans="1:22" s="603" customFormat="1" ht="27.75" customHeight="1">
      <c r="A70" s="626">
        <v>1</v>
      </c>
      <c r="B70" s="627">
        <v>7</v>
      </c>
      <c r="C70" s="627">
        <v>1</v>
      </c>
      <c r="D70" s="1103">
        <v>360</v>
      </c>
      <c r="E70" s="628">
        <v>104</v>
      </c>
      <c r="F70" s="628" t="s">
        <v>113</v>
      </c>
      <c r="G70" s="784" t="s">
        <v>173</v>
      </c>
      <c r="H70" s="582">
        <v>263.4</v>
      </c>
      <c r="I70" s="582">
        <v>1000</v>
      </c>
      <c r="J70" s="582">
        <v>0</v>
      </c>
      <c r="K70" s="581">
        <f t="shared" si="23"/>
        <v>1000</v>
      </c>
      <c r="L70" s="582">
        <v>1000</v>
      </c>
      <c r="M70" s="1164">
        <v>263.4</v>
      </c>
      <c r="N70" s="582">
        <v>1000</v>
      </c>
      <c r="O70" s="1067">
        <f t="shared" si="24"/>
        <v>0</v>
      </c>
      <c r="P70" s="835">
        <v>1000</v>
      </c>
      <c r="Q70" s="631"/>
      <c r="R70" s="582">
        <v>1000</v>
      </c>
      <c r="S70" s="785"/>
      <c r="T70" s="1498">
        <f t="shared" si="22"/>
        <v>1263.4</v>
      </c>
      <c r="V70" s="630">
        <f t="shared" si="1"/>
      </c>
    </row>
    <row r="71" spans="1:22" s="603" customFormat="1" ht="27.75" customHeight="1">
      <c r="A71" s="626">
        <v>1</v>
      </c>
      <c r="B71" s="627">
        <v>7</v>
      </c>
      <c r="C71" s="627">
        <v>1</v>
      </c>
      <c r="D71" s="1104">
        <v>365</v>
      </c>
      <c r="E71" s="665">
        <v>104</v>
      </c>
      <c r="F71" s="628" t="s">
        <v>871</v>
      </c>
      <c r="G71" s="629" t="s">
        <v>638</v>
      </c>
      <c r="H71" s="582">
        <v>3861.7</v>
      </c>
      <c r="I71" s="582">
        <v>10000</v>
      </c>
      <c r="J71" s="582">
        <v>4054.72</v>
      </c>
      <c r="K71" s="581">
        <f t="shared" si="23"/>
        <v>5945.280000000001</v>
      </c>
      <c r="L71" s="582">
        <v>10000</v>
      </c>
      <c r="M71" s="582"/>
      <c r="N71" s="582">
        <v>10000</v>
      </c>
      <c r="O71" s="1067">
        <f t="shared" si="24"/>
        <v>0</v>
      </c>
      <c r="P71" s="631">
        <v>10000</v>
      </c>
      <c r="Q71" s="631"/>
      <c r="R71" s="587">
        <v>10000</v>
      </c>
      <c r="S71" s="632"/>
      <c r="T71" s="1498">
        <f t="shared" si="22"/>
        <v>13861.7</v>
      </c>
      <c r="V71" s="630">
        <f t="shared" si="1"/>
      </c>
    </row>
    <row r="72" spans="1:22" s="603" customFormat="1" ht="27.75" customHeight="1">
      <c r="A72" s="626">
        <v>1</v>
      </c>
      <c r="B72" s="627">
        <v>7</v>
      </c>
      <c r="C72" s="627">
        <v>1</v>
      </c>
      <c r="D72" s="1104">
        <v>380</v>
      </c>
      <c r="E72" s="665">
        <v>103</v>
      </c>
      <c r="F72" s="628" t="s">
        <v>102</v>
      </c>
      <c r="G72" s="629" t="s">
        <v>1173</v>
      </c>
      <c r="H72" s="582">
        <v>0.04</v>
      </c>
      <c r="I72" s="582">
        <v>20000</v>
      </c>
      <c r="J72" s="582">
        <v>20000</v>
      </c>
      <c r="K72" s="581">
        <f t="shared" si="23"/>
        <v>0</v>
      </c>
      <c r="L72" s="582">
        <v>20000</v>
      </c>
      <c r="M72" s="582"/>
      <c r="N72" s="582">
        <f>ENTRATA!K39</f>
        <v>20000</v>
      </c>
      <c r="O72" s="1067">
        <f t="shared" si="24"/>
        <v>0</v>
      </c>
      <c r="P72" s="582">
        <f>ENTRATA!M39</f>
        <v>20000</v>
      </c>
      <c r="Q72" s="582"/>
      <c r="R72" s="582">
        <f>ENTRATA!N39</f>
        <v>20000</v>
      </c>
      <c r="S72" s="582">
        <f>ENTRATA!O39</f>
        <v>44418.93</v>
      </c>
      <c r="T72" s="1498">
        <f t="shared" si="22"/>
        <v>20000.04</v>
      </c>
      <c r="V72" s="630">
        <f aca="true" t="shared" si="25" ref="V72:V135">IF(T72&gt;(H72+N72),"ERRORE","")</f>
      </c>
    </row>
    <row r="73" spans="1:22" s="686" customFormat="1" ht="32.25" customHeight="1">
      <c r="A73" s="1276" t="s">
        <v>39</v>
      </c>
      <c r="B73" s="1277"/>
      <c r="C73" s="1277"/>
      <c r="D73" s="1277"/>
      <c r="E73" s="1277"/>
      <c r="F73" s="1277"/>
      <c r="G73" s="1278"/>
      <c r="H73" s="1486">
        <f aca="true" t="shared" si="26" ref="H73:T73">SUM(H65:H72)</f>
        <v>18498.31</v>
      </c>
      <c r="I73" s="580">
        <f t="shared" si="26"/>
        <v>121000</v>
      </c>
      <c r="J73" s="580">
        <f t="shared" si="26"/>
        <v>117712.94</v>
      </c>
      <c r="K73" s="580">
        <f t="shared" si="26"/>
        <v>8074.690000000004</v>
      </c>
      <c r="L73" s="578">
        <f t="shared" si="26"/>
        <v>125787.63</v>
      </c>
      <c r="M73" s="578">
        <f t="shared" si="26"/>
        <v>263.4</v>
      </c>
      <c r="N73" s="578">
        <f t="shared" si="26"/>
        <v>117210</v>
      </c>
      <c r="O73" s="578">
        <f t="shared" si="26"/>
        <v>-3790</v>
      </c>
      <c r="P73" s="578">
        <f t="shared" si="26"/>
        <v>117210</v>
      </c>
      <c r="Q73" s="772">
        <f t="shared" si="26"/>
        <v>0</v>
      </c>
      <c r="R73" s="772">
        <f t="shared" si="26"/>
        <v>117210</v>
      </c>
      <c r="S73" s="772">
        <f t="shared" si="26"/>
        <v>44418.93</v>
      </c>
      <c r="T73" s="670">
        <f t="shared" si="26"/>
        <v>135708.30999999997</v>
      </c>
      <c r="V73" s="630">
        <f t="shared" si="25"/>
      </c>
    </row>
    <row r="74" spans="1:22" s="603" customFormat="1" ht="27.75" customHeight="1">
      <c r="A74" s="756">
        <v>1</v>
      </c>
      <c r="B74" s="757">
        <v>8</v>
      </c>
      <c r="C74" s="757">
        <v>1</v>
      </c>
      <c r="D74" s="1105">
        <v>19</v>
      </c>
      <c r="E74" s="776">
        <v>103</v>
      </c>
      <c r="F74" s="740" t="s">
        <v>102</v>
      </c>
      <c r="G74" s="783" t="s">
        <v>1004</v>
      </c>
      <c r="H74" s="581">
        <v>50.01</v>
      </c>
      <c r="I74" s="581">
        <v>0</v>
      </c>
      <c r="J74" s="581">
        <v>2349.7</v>
      </c>
      <c r="K74" s="581">
        <f aca="true" t="shared" si="27" ref="K74:K79">L74-J74</f>
        <v>0</v>
      </c>
      <c r="L74" s="581">
        <v>2349.7</v>
      </c>
      <c r="M74" s="1159">
        <v>2470</v>
      </c>
      <c r="N74" s="574">
        <v>3000</v>
      </c>
      <c r="O74" s="1067">
        <v>0</v>
      </c>
      <c r="P74" s="1067">
        <v>3000</v>
      </c>
      <c r="Q74" s="1073"/>
      <c r="R74" s="574">
        <v>3000</v>
      </c>
      <c r="S74" s="786"/>
      <c r="T74" s="1482">
        <f aca="true" t="shared" si="28" ref="T74:T79">H74+N74</f>
        <v>3050.01</v>
      </c>
      <c r="V74" s="630">
        <f t="shared" si="25"/>
      </c>
    </row>
    <row r="75" spans="1:22" s="603" customFormat="1" ht="27.75" customHeight="1">
      <c r="A75" s="756">
        <v>1</v>
      </c>
      <c r="B75" s="757">
        <v>8</v>
      </c>
      <c r="C75" s="757">
        <v>1</v>
      </c>
      <c r="D75" s="1105">
        <v>153</v>
      </c>
      <c r="E75" s="776">
        <v>103</v>
      </c>
      <c r="F75" s="740" t="s">
        <v>103</v>
      </c>
      <c r="G75" s="783" t="s">
        <v>472</v>
      </c>
      <c r="H75" s="581">
        <v>9154.75</v>
      </c>
      <c r="I75" s="581">
        <v>38000</v>
      </c>
      <c r="J75" s="581">
        <v>46035.8</v>
      </c>
      <c r="K75" s="581">
        <f t="shared" si="27"/>
        <v>524.1999999999971</v>
      </c>
      <c r="L75" s="581">
        <v>46560</v>
      </c>
      <c r="M75" s="1159">
        <v>2440</v>
      </c>
      <c r="N75" s="574">
        <v>40000</v>
      </c>
      <c r="O75" s="1067">
        <f>N75-I75</f>
        <v>2000</v>
      </c>
      <c r="P75" s="1067">
        <v>40000</v>
      </c>
      <c r="Q75" s="575"/>
      <c r="R75" s="574">
        <v>40000</v>
      </c>
      <c r="S75" s="786"/>
      <c r="T75" s="1482">
        <f t="shared" si="28"/>
        <v>49154.75</v>
      </c>
      <c r="V75" s="630">
        <f t="shared" si="25"/>
      </c>
    </row>
    <row r="76" spans="1:22" s="603" customFormat="1" ht="27.75" customHeight="1">
      <c r="A76" s="756">
        <v>1</v>
      </c>
      <c r="B76" s="757">
        <v>8</v>
      </c>
      <c r="C76" s="757">
        <v>1</v>
      </c>
      <c r="D76" s="1105" t="s">
        <v>1084</v>
      </c>
      <c r="E76" s="776">
        <v>103</v>
      </c>
      <c r="F76" s="740" t="s">
        <v>1085</v>
      </c>
      <c r="G76" s="787" t="s">
        <v>1087</v>
      </c>
      <c r="H76" s="581"/>
      <c r="I76" s="581">
        <v>0</v>
      </c>
      <c r="J76" s="581">
        <v>0</v>
      </c>
      <c r="K76" s="581">
        <f t="shared" si="27"/>
        <v>77897</v>
      </c>
      <c r="L76" s="581">
        <v>77897</v>
      </c>
      <c r="M76" s="581"/>
      <c r="N76" s="574">
        <v>77897</v>
      </c>
      <c r="O76" s="1067">
        <f>N76-I76</f>
        <v>77897</v>
      </c>
      <c r="P76" s="1067"/>
      <c r="Q76" s="575"/>
      <c r="R76" s="574"/>
      <c r="S76" s="786"/>
      <c r="T76" s="1482">
        <f t="shared" si="28"/>
        <v>77897</v>
      </c>
      <c r="V76" s="630">
        <f t="shared" si="25"/>
      </c>
    </row>
    <row r="77" spans="1:22" s="603" customFormat="1" ht="27.75" customHeight="1">
      <c r="A77" s="756">
        <v>1</v>
      </c>
      <c r="B77" s="757">
        <v>8</v>
      </c>
      <c r="C77" s="757">
        <v>1</v>
      </c>
      <c r="D77" s="1105">
        <v>154</v>
      </c>
      <c r="E77" s="776">
        <v>103</v>
      </c>
      <c r="F77" s="740" t="s">
        <v>984</v>
      </c>
      <c r="G77" s="787" t="s">
        <v>978</v>
      </c>
      <c r="H77" s="581"/>
      <c r="I77" s="581">
        <v>20000</v>
      </c>
      <c r="J77" s="581">
        <v>20000</v>
      </c>
      <c r="K77" s="581">
        <f t="shared" si="27"/>
        <v>0</v>
      </c>
      <c r="L77" s="581">
        <v>20000</v>
      </c>
      <c r="M77" s="581"/>
      <c r="N77" s="574"/>
      <c r="O77" s="1067">
        <f>N77-I77</f>
        <v>-20000</v>
      </c>
      <c r="P77" s="1067"/>
      <c r="Q77" s="836"/>
      <c r="R77" s="574"/>
      <c r="S77" s="786"/>
      <c r="T77" s="1482">
        <f t="shared" si="28"/>
        <v>0</v>
      </c>
      <c r="V77" s="630">
        <f t="shared" si="25"/>
      </c>
    </row>
    <row r="78" spans="1:22" s="603" customFormat="1" ht="27.75" customHeight="1">
      <c r="A78" s="756">
        <v>1</v>
      </c>
      <c r="B78" s="757">
        <v>8</v>
      </c>
      <c r="C78" s="757">
        <v>1</v>
      </c>
      <c r="D78" s="1105">
        <v>156</v>
      </c>
      <c r="E78" s="776">
        <v>103</v>
      </c>
      <c r="F78" s="740" t="s">
        <v>882</v>
      </c>
      <c r="G78" s="787" t="s">
        <v>833</v>
      </c>
      <c r="H78" s="581"/>
      <c r="I78" s="581">
        <v>4392</v>
      </c>
      <c r="J78" s="581">
        <v>4392</v>
      </c>
      <c r="K78" s="581">
        <f t="shared" si="27"/>
        <v>0</v>
      </c>
      <c r="L78" s="581">
        <v>4392</v>
      </c>
      <c r="M78" s="581"/>
      <c r="N78" s="574">
        <v>4700</v>
      </c>
      <c r="O78" s="1067">
        <f>N78-I78</f>
        <v>308</v>
      </c>
      <c r="P78" s="1067">
        <v>4700</v>
      </c>
      <c r="Q78" s="575"/>
      <c r="R78" s="574">
        <v>4700</v>
      </c>
      <c r="S78" s="786"/>
      <c r="T78" s="1482">
        <f t="shared" si="28"/>
        <v>4700</v>
      </c>
      <c r="V78" s="630">
        <f t="shared" si="25"/>
      </c>
    </row>
    <row r="79" spans="1:22" s="603" customFormat="1" ht="27.75" customHeight="1">
      <c r="A79" s="756">
        <v>1</v>
      </c>
      <c r="B79" s="757">
        <v>8</v>
      </c>
      <c r="C79" s="757">
        <v>1</v>
      </c>
      <c r="D79" s="1105">
        <v>157</v>
      </c>
      <c r="E79" s="776">
        <v>103</v>
      </c>
      <c r="F79" s="740" t="s">
        <v>99</v>
      </c>
      <c r="G79" s="787" t="s">
        <v>942</v>
      </c>
      <c r="H79" s="581"/>
      <c r="I79" s="581">
        <v>1900</v>
      </c>
      <c r="J79" s="581">
        <v>1900</v>
      </c>
      <c r="K79" s="581">
        <f t="shared" si="27"/>
        <v>0</v>
      </c>
      <c r="L79" s="581">
        <v>1900</v>
      </c>
      <c r="M79" s="581"/>
      <c r="N79" s="574">
        <v>1900</v>
      </c>
      <c r="O79" s="1067">
        <f>N79-I79</f>
        <v>0</v>
      </c>
      <c r="P79" s="1067">
        <v>1900</v>
      </c>
      <c r="Q79" s="575"/>
      <c r="R79" s="574">
        <v>1900</v>
      </c>
      <c r="S79" s="786"/>
      <c r="T79" s="1482">
        <f t="shared" si="28"/>
        <v>1900</v>
      </c>
      <c r="V79" s="630">
        <f t="shared" si="25"/>
      </c>
    </row>
    <row r="80" spans="1:22" s="686" customFormat="1" ht="24.75" customHeight="1">
      <c r="A80" s="1276" t="s">
        <v>40</v>
      </c>
      <c r="B80" s="1277"/>
      <c r="C80" s="1277"/>
      <c r="D80" s="1277"/>
      <c r="E80" s="1277"/>
      <c r="F80" s="1277"/>
      <c r="G80" s="1278"/>
      <c r="H80" s="1486">
        <f aca="true" t="shared" si="29" ref="H80:T80">SUM(H74:H79)</f>
        <v>9204.76</v>
      </c>
      <c r="I80" s="580">
        <f t="shared" si="29"/>
        <v>64292</v>
      </c>
      <c r="J80" s="580">
        <f t="shared" si="29"/>
        <v>74677.5</v>
      </c>
      <c r="K80" s="580">
        <f t="shared" si="29"/>
        <v>78421.2</v>
      </c>
      <c r="L80" s="580">
        <f t="shared" si="29"/>
        <v>153098.7</v>
      </c>
      <c r="M80" s="580">
        <f t="shared" si="29"/>
        <v>4910</v>
      </c>
      <c r="N80" s="580">
        <f t="shared" si="29"/>
        <v>127497</v>
      </c>
      <c r="O80" s="580">
        <f t="shared" si="29"/>
        <v>60205</v>
      </c>
      <c r="P80" s="580">
        <f t="shared" si="29"/>
        <v>49600</v>
      </c>
      <c r="Q80" s="580">
        <f t="shared" si="29"/>
        <v>0</v>
      </c>
      <c r="R80" s="580">
        <f t="shared" si="29"/>
        <v>49600</v>
      </c>
      <c r="S80" s="580">
        <f t="shared" si="29"/>
        <v>0</v>
      </c>
      <c r="T80" s="613">
        <f t="shared" si="29"/>
        <v>136701.76</v>
      </c>
      <c r="U80" s="773"/>
      <c r="V80" s="630">
        <f t="shared" si="25"/>
      </c>
    </row>
    <row r="81" spans="1:22" s="603" customFormat="1" ht="27.75" customHeight="1">
      <c r="A81" s="756">
        <v>1</v>
      </c>
      <c r="B81" s="757">
        <v>9</v>
      </c>
      <c r="C81" s="757">
        <v>1</v>
      </c>
      <c r="D81" s="1100">
        <v>265</v>
      </c>
      <c r="E81" s="740">
        <v>104</v>
      </c>
      <c r="F81" s="740"/>
      <c r="G81" s="787" t="s">
        <v>262</v>
      </c>
      <c r="H81" s="581"/>
      <c r="I81" s="581"/>
      <c r="J81" s="581"/>
      <c r="K81" s="581"/>
      <c r="L81" s="581"/>
      <c r="M81" s="581"/>
      <c r="N81" s="574"/>
      <c r="O81" s="1067"/>
      <c r="P81" s="1067"/>
      <c r="Q81" s="633"/>
      <c r="R81" s="834"/>
      <c r="S81" s="789"/>
      <c r="T81" s="671"/>
      <c r="V81" s="630">
        <f t="shared" si="25"/>
      </c>
    </row>
    <row r="82" spans="1:22" s="603" customFormat="1" ht="27.75" customHeight="1">
      <c r="A82" s="756">
        <v>1</v>
      </c>
      <c r="B82" s="757">
        <v>9</v>
      </c>
      <c r="C82" s="757"/>
      <c r="D82" s="1100"/>
      <c r="E82" s="740"/>
      <c r="F82" s="740"/>
      <c r="G82" s="783"/>
      <c r="H82" s="574"/>
      <c r="I82" s="581"/>
      <c r="J82" s="581"/>
      <c r="K82" s="581"/>
      <c r="L82" s="581"/>
      <c r="M82" s="581"/>
      <c r="N82" s="574"/>
      <c r="O82" s="1067"/>
      <c r="P82" s="1067"/>
      <c r="Q82" s="575"/>
      <c r="R82" s="575"/>
      <c r="S82" s="735"/>
      <c r="T82" s="671"/>
      <c r="V82" s="630">
        <f t="shared" si="25"/>
      </c>
    </row>
    <row r="83" spans="1:22" s="603" customFormat="1" ht="27.75" customHeight="1">
      <c r="A83" s="790">
        <v>1</v>
      </c>
      <c r="B83" s="769">
        <v>9</v>
      </c>
      <c r="C83" s="769"/>
      <c r="D83" s="1106"/>
      <c r="E83" s="770"/>
      <c r="F83" s="770"/>
      <c r="G83" s="791"/>
      <c r="H83" s="583"/>
      <c r="I83" s="583"/>
      <c r="J83" s="583"/>
      <c r="K83" s="583"/>
      <c r="L83" s="583"/>
      <c r="M83" s="583"/>
      <c r="N83" s="596"/>
      <c r="O83" s="836"/>
      <c r="P83" s="836"/>
      <c r="Q83" s="836"/>
      <c r="R83" s="596"/>
      <c r="S83" s="792"/>
      <c r="T83" s="672"/>
      <c r="V83" s="630">
        <f t="shared" si="25"/>
      </c>
    </row>
    <row r="84" spans="1:22" s="686" customFormat="1" ht="29.25" customHeight="1">
      <c r="A84" s="1275" t="s">
        <v>301</v>
      </c>
      <c r="B84" s="1275"/>
      <c r="C84" s="1275"/>
      <c r="D84" s="1275"/>
      <c r="E84" s="1275"/>
      <c r="F84" s="1275"/>
      <c r="G84" s="1275"/>
      <c r="H84" s="580">
        <f>SUM(H81:H83)</f>
        <v>0</v>
      </c>
      <c r="I84" s="580">
        <f aca="true" t="shared" si="30" ref="I84:O84">SUM(I81:I83)</f>
        <v>0</v>
      </c>
      <c r="J84" s="580">
        <f t="shared" si="30"/>
        <v>0</v>
      </c>
      <c r="K84" s="580">
        <f t="shared" si="30"/>
        <v>0</v>
      </c>
      <c r="L84" s="580">
        <f t="shared" si="30"/>
        <v>0</v>
      </c>
      <c r="M84" s="580">
        <f t="shared" si="30"/>
        <v>0</v>
      </c>
      <c r="N84" s="580">
        <f t="shared" si="30"/>
        <v>0</v>
      </c>
      <c r="O84" s="580">
        <f t="shared" si="30"/>
        <v>0</v>
      </c>
      <c r="P84" s="580">
        <f>SUM(P81:P83)</f>
        <v>0</v>
      </c>
      <c r="Q84" s="580">
        <f>SUM(Q81:Q83)</f>
        <v>0</v>
      </c>
      <c r="R84" s="580">
        <f>SUM(R81:R83)</f>
        <v>0</v>
      </c>
      <c r="S84" s="580">
        <f>SUM(S81:S83)</f>
        <v>0</v>
      </c>
      <c r="T84" s="613">
        <f>SUM(T81:T83)</f>
        <v>0</v>
      </c>
      <c r="U84" s="773"/>
      <c r="V84" s="630">
        <f t="shared" si="25"/>
      </c>
    </row>
    <row r="85" spans="1:22" s="603" customFormat="1" ht="27.75" customHeight="1">
      <c r="A85" s="796">
        <v>1</v>
      </c>
      <c r="B85" s="798">
        <v>10</v>
      </c>
      <c r="C85" s="798">
        <v>1</v>
      </c>
      <c r="D85" s="1107">
        <v>100</v>
      </c>
      <c r="E85" s="999">
        <v>101</v>
      </c>
      <c r="F85" s="800" t="s">
        <v>1005</v>
      </c>
      <c r="G85" s="839" t="s">
        <v>1006</v>
      </c>
      <c r="H85" s="788">
        <v>173.03</v>
      </c>
      <c r="I85" s="788"/>
      <c r="J85" s="788">
        <v>2189</v>
      </c>
      <c r="K85" s="788">
        <f>L85-J85</f>
        <v>311</v>
      </c>
      <c r="L85" s="788">
        <v>2500</v>
      </c>
      <c r="M85" s="788"/>
      <c r="N85" s="834"/>
      <c r="O85" s="633">
        <f>N85-I85</f>
        <v>0</v>
      </c>
      <c r="P85" s="633"/>
      <c r="Q85" s="633"/>
      <c r="R85" s="834"/>
      <c r="S85" s="789"/>
      <c r="T85" s="1483">
        <f aca="true" t="shared" si="31" ref="T85:T95">H85+N85</f>
        <v>173.03</v>
      </c>
      <c r="V85" s="630">
        <f t="shared" si="25"/>
      </c>
    </row>
    <row r="86" spans="1:22" s="603" customFormat="1" ht="27.75" customHeight="1">
      <c r="A86" s="756">
        <v>1</v>
      </c>
      <c r="B86" s="757">
        <v>10</v>
      </c>
      <c r="C86" s="757">
        <v>1</v>
      </c>
      <c r="D86" s="1105">
        <v>140</v>
      </c>
      <c r="E86" s="776">
        <v>103</v>
      </c>
      <c r="F86" s="740" t="s">
        <v>117</v>
      </c>
      <c r="G86" s="783" t="s">
        <v>236</v>
      </c>
      <c r="H86" s="581">
        <v>4192.13</v>
      </c>
      <c r="I86" s="581">
        <v>3000</v>
      </c>
      <c r="J86" s="581">
        <v>2968.55</v>
      </c>
      <c r="K86" s="581">
        <f>L86-J86</f>
        <v>31.449999999999818</v>
      </c>
      <c r="L86" s="581">
        <v>3000</v>
      </c>
      <c r="M86" s="581"/>
      <c r="N86" s="574">
        <v>3000</v>
      </c>
      <c r="O86" s="1067">
        <f>N86-I86</f>
        <v>0</v>
      </c>
      <c r="P86" s="1067">
        <v>3000</v>
      </c>
      <c r="Q86" s="1067"/>
      <c r="R86" s="574">
        <v>3000</v>
      </c>
      <c r="S86" s="786"/>
      <c r="T86" s="1484">
        <f>H86+N86</f>
        <v>7192.13</v>
      </c>
      <c r="V86" s="630">
        <f t="shared" si="25"/>
      </c>
    </row>
    <row r="87" spans="1:22" s="603" customFormat="1" ht="27.75" customHeight="1">
      <c r="A87" s="761">
        <v>1</v>
      </c>
      <c r="B87" s="762">
        <v>10</v>
      </c>
      <c r="C87" s="762">
        <v>1</v>
      </c>
      <c r="D87" s="1101">
        <v>180</v>
      </c>
      <c r="E87" s="666">
        <v>103</v>
      </c>
      <c r="F87" s="741" t="s">
        <v>117</v>
      </c>
      <c r="G87" s="780" t="s">
        <v>473</v>
      </c>
      <c r="H87" s="735">
        <v>6926.45</v>
      </c>
      <c r="I87" s="735">
        <v>7000</v>
      </c>
      <c r="J87" s="735">
        <v>6340.56</v>
      </c>
      <c r="K87" s="581">
        <f aca="true" t="shared" si="32" ref="K87:K95">L87-J87</f>
        <v>659.4399999999996</v>
      </c>
      <c r="L87" s="735">
        <v>7000</v>
      </c>
      <c r="M87" s="1163">
        <v>4354.2</v>
      </c>
      <c r="N87" s="735">
        <v>5000</v>
      </c>
      <c r="O87" s="1067">
        <f aca="true" t="shared" si="33" ref="O87:O95">N87-I87</f>
        <v>-2000</v>
      </c>
      <c r="P87" s="744">
        <v>5000</v>
      </c>
      <c r="Q87" s="744"/>
      <c r="R87" s="735">
        <v>5000</v>
      </c>
      <c r="S87" s="781"/>
      <c r="T87" s="1231">
        <f t="shared" si="31"/>
        <v>11926.45</v>
      </c>
      <c r="V87" s="630">
        <f t="shared" si="25"/>
      </c>
    </row>
    <row r="88" spans="1:22" s="603" customFormat="1" ht="27.75" customHeight="1">
      <c r="A88" s="756">
        <v>1</v>
      </c>
      <c r="B88" s="757">
        <v>10</v>
      </c>
      <c r="C88" s="757">
        <v>1</v>
      </c>
      <c r="D88" s="1100">
        <v>384</v>
      </c>
      <c r="E88" s="740">
        <v>101</v>
      </c>
      <c r="F88" s="740" t="s">
        <v>96</v>
      </c>
      <c r="G88" s="783" t="s">
        <v>478</v>
      </c>
      <c r="H88" s="581">
        <v>45552.74</v>
      </c>
      <c r="I88" s="581">
        <v>34500</v>
      </c>
      <c r="J88" s="581">
        <v>52352.53</v>
      </c>
      <c r="K88" s="581">
        <f t="shared" si="32"/>
        <v>147.47000000000116</v>
      </c>
      <c r="L88" s="581">
        <v>52500</v>
      </c>
      <c r="M88" s="1159">
        <v>24136.96</v>
      </c>
      <c r="N88" s="581">
        <v>52500</v>
      </c>
      <c r="O88" s="1067">
        <f t="shared" si="33"/>
        <v>18000</v>
      </c>
      <c r="P88" s="743">
        <v>52500</v>
      </c>
      <c r="Q88" s="743"/>
      <c r="R88" s="581">
        <v>52500</v>
      </c>
      <c r="S88" s="786"/>
      <c r="T88" s="1499">
        <f t="shared" si="31"/>
        <v>98052.73999999999</v>
      </c>
      <c r="V88" s="630">
        <f t="shared" si="25"/>
      </c>
    </row>
    <row r="89" spans="1:22" s="603" customFormat="1" ht="27.75" customHeight="1">
      <c r="A89" s="761">
        <v>1</v>
      </c>
      <c r="B89" s="762">
        <v>10</v>
      </c>
      <c r="C89" s="762">
        <v>1</v>
      </c>
      <c r="D89" s="1102">
        <v>385</v>
      </c>
      <c r="E89" s="741">
        <v>103</v>
      </c>
      <c r="F89" s="741" t="s">
        <v>102</v>
      </c>
      <c r="G89" s="760" t="s">
        <v>477</v>
      </c>
      <c r="H89" s="735">
        <v>123.24</v>
      </c>
      <c r="I89" s="735">
        <v>500</v>
      </c>
      <c r="J89" s="735">
        <v>123.24</v>
      </c>
      <c r="K89" s="581">
        <f t="shared" si="32"/>
        <v>376.76</v>
      </c>
      <c r="L89" s="735">
        <v>500</v>
      </c>
      <c r="M89" s="735"/>
      <c r="N89" s="735">
        <v>500</v>
      </c>
      <c r="O89" s="1067">
        <f t="shared" si="33"/>
        <v>0</v>
      </c>
      <c r="P89" s="744">
        <v>500</v>
      </c>
      <c r="Q89" s="744"/>
      <c r="R89" s="735">
        <v>500</v>
      </c>
      <c r="S89" s="781"/>
      <c r="T89" s="1499">
        <f t="shared" si="31"/>
        <v>623.24</v>
      </c>
      <c r="V89" s="630">
        <f t="shared" si="25"/>
      </c>
    </row>
    <row r="90" spans="1:22" s="617" customFormat="1" ht="27.75" customHeight="1">
      <c r="A90" s="756">
        <v>1</v>
      </c>
      <c r="B90" s="757">
        <v>10</v>
      </c>
      <c r="C90" s="757">
        <v>1</v>
      </c>
      <c r="D90" s="1100">
        <v>386</v>
      </c>
      <c r="E90" s="740">
        <v>101</v>
      </c>
      <c r="F90" s="740" t="s">
        <v>118</v>
      </c>
      <c r="G90" s="759" t="s">
        <v>237</v>
      </c>
      <c r="H90" s="576">
        <v>1588.55</v>
      </c>
      <c r="I90" s="576">
        <v>3000</v>
      </c>
      <c r="J90" s="576">
        <v>3000</v>
      </c>
      <c r="K90" s="581">
        <f t="shared" si="32"/>
        <v>0</v>
      </c>
      <c r="L90" s="576">
        <v>3000</v>
      </c>
      <c r="M90" s="576"/>
      <c r="N90" s="576">
        <v>3000</v>
      </c>
      <c r="O90" s="1067">
        <f t="shared" si="33"/>
        <v>0</v>
      </c>
      <c r="P90" s="618">
        <v>3000</v>
      </c>
      <c r="Q90" s="618"/>
      <c r="R90" s="576">
        <v>3000</v>
      </c>
      <c r="S90" s="621"/>
      <c r="T90" s="1499">
        <f t="shared" si="31"/>
        <v>4588.55</v>
      </c>
      <c r="V90" s="630">
        <f t="shared" si="25"/>
      </c>
    </row>
    <row r="91" spans="1:22" s="603" customFormat="1" ht="27.75" customHeight="1">
      <c r="A91" s="761">
        <v>1</v>
      </c>
      <c r="B91" s="762">
        <v>10</v>
      </c>
      <c r="C91" s="762">
        <v>1</v>
      </c>
      <c r="D91" s="1101">
        <v>388</v>
      </c>
      <c r="E91" s="666">
        <v>101</v>
      </c>
      <c r="F91" s="741" t="s">
        <v>97</v>
      </c>
      <c r="G91" s="780" t="s">
        <v>131</v>
      </c>
      <c r="H91" s="735">
        <v>12077.71</v>
      </c>
      <c r="I91" s="735">
        <v>8500</v>
      </c>
      <c r="J91" s="735">
        <v>13684</v>
      </c>
      <c r="K91" s="581">
        <f t="shared" si="32"/>
        <v>0</v>
      </c>
      <c r="L91" s="735">
        <v>13684</v>
      </c>
      <c r="M91" s="1163">
        <v>5809.7</v>
      </c>
      <c r="N91" s="735">
        <v>13684</v>
      </c>
      <c r="O91" s="1067">
        <f t="shared" si="33"/>
        <v>5184</v>
      </c>
      <c r="P91" s="744">
        <v>13684</v>
      </c>
      <c r="Q91" s="744"/>
      <c r="R91" s="735">
        <v>13684</v>
      </c>
      <c r="S91" s="781"/>
      <c r="T91" s="1499">
        <f t="shared" si="31"/>
        <v>25761.71</v>
      </c>
      <c r="V91" s="630">
        <f t="shared" si="25"/>
      </c>
    </row>
    <row r="92" spans="1:22" s="617" customFormat="1" ht="27.75" customHeight="1">
      <c r="A92" s="761">
        <v>1</v>
      </c>
      <c r="B92" s="762">
        <v>10</v>
      </c>
      <c r="C92" s="762">
        <v>1</v>
      </c>
      <c r="D92" s="1101">
        <v>389</v>
      </c>
      <c r="E92" s="666">
        <v>101</v>
      </c>
      <c r="F92" s="741" t="s">
        <v>872</v>
      </c>
      <c r="G92" s="765" t="s">
        <v>813</v>
      </c>
      <c r="H92" s="576">
        <v>727.63</v>
      </c>
      <c r="I92" s="576">
        <v>727</v>
      </c>
      <c r="J92" s="576">
        <v>0</v>
      </c>
      <c r="K92" s="581">
        <f t="shared" si="32"/>
        <v>727</v>
      </c>
      <c r="L92" s="575">
        <v>727</v>
      </c>
      <c r="M92" s="1160">
        <v>727</v>
      </c>
      <c r="N92" s="576">
        <v>735</v>
      </c>
      <c r="O92" s="1067">
        <f t="shared" si="33"/>
        <v>8</v>
      </c>
      <c r="P92" s="618">
        <v>735</v>
      </c>
      <c r="Q92" s="618"/>
      <c r="R92" s="576">
        <v>735</v>
      </c>
      <c r="S92" s="621"/>
      <c r="T92" s="1498">
        <f t="shared" si="31"/>
        <v>1462.63</v>
      </c>
      <c r="V92" s="630">
        <f t="shared" si="25"/>
      </c>
    </row>
    <row r="93" spans="1:22" s="617" customFormat="1" ht="27.75" customHeight="1">
      <c r="A93" s="761">
        <v>1</v>
      </c>
      <c r="B93" s="762">
        <v>10</v>
      </c>
      <c r="C93" s="762">
        <v>1</v>
      </c>
      <c r="D93" s="1101">
        <v>392</v>
      </c>
      <c r="E93" s="666">
        <v>101</v>
      </c>
      <c r="F93" s="741" t="s">
        <v>873</v>
      </c>
      <c r="G93" s="765" t="s">
        <v>814</v>
      </c>
      <c r="H93" s="576">
        <v>3052</v>
      </c>
      <c r="I93" s="576">
        <v>3052</v>
      </c>
      <c r="J93" s="576">
        <v>3052</v>
      </c>
      <c r="K93" s="581">
        <f t="shared" si="32"/>
        <v>0</v>
      </c>
      <c r="L93" s="575">
        <v>3052</v>
      </c>
      <c r="M93" s="1160">
        <v>3052</v>
      </c>
      <c r="N93" s="576">
        <v>3052</v>
      </c>
      <c r="O93" s="1067">
        <f>N93-I93</f>
        <v>0</v>
      </c>
      <c r="P93" s="618">
        <v>3052</v>
      </c>
      <c r="Q93" s="618"/>
      <c r="R93" s="576">
        <v>3052</v>
      </c>
      <c r="S93" s="621"/>
      <c r="T93" s="1498">
        <f t="shared" si="31"/>
        <v>6104</v>
      </c>
      <c r="V93" s="630">
        <f t="shared" si="25"/>
      </c>
    </row>
    <row r="94" spans="1:22" s="617" customFormat="1" ht="27.75" customHeight="1">
      <c r="A94" s="761">
        <v>1</v>
      </c>
      <c r="B94" s="762">
        <v>10</v>
      </c>
      <c r="C94" s="762">
        <v>1</v>
      </c>
      <c r="D94" s="1101">
        <v>395</v>
      </c>
      <c r="E94" s="666">
        <v>102</v>
      </c>
      <c r="F94" s="741" t="s">
        <v>104</v>
      </c>
      <c r="G94" s="760" t="s">
        <v>132</v>
      </c>
      <c r="H94" s="576">
        <v>4166.34</v>
      </c>
      <c r="I94" s="576">
        <v>2950</v>
      </c>
      <c r="J94" s="576">
        <v>4480</v>
      </c>
      <c r="K94" s="581">
        <f t="shared" si="32"/>
        <v>0</v>
      </c>
      <c r="L94" s="576">
        <v>4480</v>
      </c>
      <c r="M94" s="1162">
        <v>2041.27</v>
      </c>
      <c r="N94" s="576">
        <v>4480</v>
      </c>
      <c r="O94" s="1067">
        <f t="shared" si="33"/>
        <v>1530</v>
      </c>
      <c r="P94" s="618">
        <v>4480</v>
      </c>
      <c r="Q94" s="618"/>
      <c r="R94" s="576">
        <v>4480</v>
      </c>
      <c r="S94" s="621"/>
      <c r="T94" s="1498">
        <f t="shared" si="31"/>
        <v>8646.34</v>
      </c>
      <c r="V94" s="630">
        <f t="shared" si="25"/>
      </c>
    </row>
    <row r="95" spans="1:22" s="617" customFormat="1" ht="27.75" customHeight="1">
      <c r="A95" s="761">
        <v>1</v>
      </c>
      <c r="B95" s="762">
        <v>10</v>
      </c>
      <c r="C95" s="762">
        <v>1</v>
      </c>
      <c r="D95" s="1101">
        <v>396</v>
      </c>
      <c r="E95" s="666">
        <v>101</v>
      </c>
      <c r="F95" s="741" t="s">
        <v>885</v>
      </c>
      <c r="G95" s="765" t="s">
        <v>815</v>
      </c>
      <c r="H95" s="576">
        <v>260.58</v>
      </c>
      <c r="I95" s="576">
        <v>260</v>
      </c>
      <c r="J95" s="576">
        <v>0</v>
      </c>
      <c r="K95" s="581">
        <f t="shared" si="32"/>
        <v>260</v>
      </c>
      <c r="L95" s="575">
        <v>260</v>
      </c>
      <c r="M95" s="1160">
        <v>260</v>
      </c>
      <c r="N95" s="576">
        <v>260</v>
      </c>
      <c r="O95" s="1067">
        <f t="shared" si="33"/>
        <v>0</v>
      </c>
      <c r="P95" s="618">
        <v>260</v>
      </c>
      <c r="Q95" s="618"/>
      <c r="R95" s="576">
        <v>260</v>
      </c>
      <c r="S95" s="621"/>
      <c r="T95" s="1498">
        <f t="shared" si="31"/>
        <v>520.5799999999999</v>
      </c>
      <c r="V95" s="630">
        <f t="shared" si="25"/>
      </c>
    </row>
    <row r="96" spans="1:22" s="686" customFormat="1" ht="21" customHeight="1">
      <c r="A96" s="1276" t="s">
        <v>41</v>
      </c>
      <c r="B96" s="1277"/>
      <c r="C96" s="1277"/>
      <c r="D96" s="1277"/>
      <c r="E96" s="1277"/>
      <c r="F96" s="1277"/>
      <c r="G96" s="1278"/>
      <c r="H96" s="1486">
        <f aca="true" t="shared" si="34" ref="H96:T96">SUM(H85:H95)</f>
        <v>78840.40000000001</v>
      </c>
      <c r="I96" s="580">
        <f t="shared" si="34"/>
        <v>63489</v>
      </c>
      <c r="J96" s="580">
        <f t="shared" si="34"/>
        <v>88189.88</v>
      </c>
      <c r="K96" s="580">
        <f t="shared" si="34"/>
        <v>2513.120000000001</v>
      </c>
      <c r="L96" s="578">
        <f t="shared" si="34"/>
        <v>90703</v>
      </c>
      <c r="M96" s="578">
        <f t="shared" si="34"/>
        <v>40381.13</v>
      </c>
      <c r="N96" s="578">
        <f t="shared" si="34"/>
        <v>86211</v>
      </c>
      <c r="O96" s="578">
        <f t="shared" si="34"/>
        <v>22722</v>
      </c>
      <c r="P96" s="578">
        <f t="shared" si="34"/>
        <v>86211</v>
      </c>
      <c r="Q96" s="772">
        <f t="shared" si="34"/>
        <v>0</v>
      </c>
      <c r="R96" s="772">
        <f t="shared" si="34"/>
        <v>86211</v>
      </c>
      <c r="S96" s="772">
        <f t="shared" si="34"/>
        <v>0</v>
      </c>
      <c r="T96" s="670">
        <f t="shared" si="34"/>
        <v>165051.4</v>
      </c>
      <c r="V96" s="630">
        <f t="shared" si="25"/>
      </c>
    </row>
    <row r="97" spans="1:22" s="617" customFormat="1" ht="27.75" customHeight="1">
      <c r="A97" s="761">
        <v>1</v>
      </c>
      <c r="B97" s="762">
        <v>11</v>
      </c>
      <c r="C97" s="762">
        <v>1</v>
      </c>
      <c r="D97" s="1101">
        <v>35</v>
      </c>
      <c r="E97" s="666">
        <v>103</v>
      </c>
      <c r="F97" s="741" t="s">
        <v>111</v>
      </c>
      <c r="G97" s="760" t="s">
        <v>164</v>
      </c>
      <c r="H97" s="576">
        <v>21496.17</v>
      </c>
      <c r="I97" s="576">
        <v>10000</v>
      </c>
      <c r="J97" s="576">
        <v>9476.9</v>
      </c>
      <c r="K97" s="576">
        <f>L97-J97</f>
        <v>523.1000000000004</v>
      </c>
      <c r="L97" s="575">
        <v>10000</v>
      </c>
      <c r="M97" s="1160">
        <v>6023.81</v>
      </c>
      <c r="N97" s="576">
        <f>10000-5000</f>
        <v>5000</v>
      </c>
      <c r="O97" s="618">
        <f>N97-I97</f>
        <v>-5000</v>
      </c>
      <c r="P97" s="618">
        <v>5000</v>
      </c>
      <c r="Q97" s="618"/>
      <c r="R97" s="576">
        <v>5000</v>
      </c>
      <c r="S97" s="621"/>
      <c r="T97" s="1231">
        <f aca="true" t="shared" si="35" ref="T97:T106">H97+N97</f>
        <v>26496.17</v>
      </c>
      <c r="V97" s="630">
        <f t="shared" si="25"/>
      </c>
    </row>
    <row r="98" spans="1:22" s="617" customFormat="1" ht="27.75" customHeight="1">
      <c r="A98" s="761">
        <v>1</v>
      </c>
      <c r="B98" s="762">
        <v>11</v>
      </c>
      <c r="C98" s="762">
        <v>1</v>
      </c>
      <c r="D98" s="1101">
        <v>151</v>
      </c>
      <c r="E98" s="666">
        <v>103</v>
      </c>
      <c r="F98" s="741" t="s">
        <v>98</v>
      </c>
      <c r="G98" s="760" t="s">
        <v>474</v>
      </c>
      <c r="H98" s="576">
        <v>5316.03</v>
      </c>
      <c r="I98" s="576">
        <v>10000</v>
      </c>
      <c r="J98" s="576">
        <v>11822.5</v>
      </c>
      <c r="K98" s="576">
        <f>L98-J98</f>
        <v>1682.6499999999996</v>
      </c>
      <c r="L98" s="575">
        <v>13505.15</v>
      </c>
      <c r="M98" s="575"/>
      <c r="N98" s="575">
        <v>10000</v>
      </c>
      <c r="O98" s="636">
        <f>N98-I98</f>
        <v>0</v>
      </c>
      <c r="P98" s="636">
        <v>10000</v>
      </c>
      <c r="Q98" s="636"/>
      <c r="R98" s="575">
        <v>10000</v>
      </c>
      <c r="S98" s="621"/>
      <c r="T98" s="1231">
        <f t="shared" si="35"/>
        <v>15316.029999999999</v>
      </c>
      <c r="V98" s="630">
        <f t="shared" si="25"/>
      </c>
    </row>
    <row r="99" spans="1:22" s="617" customFormat="1" ht="27.75" customHeight="1">
      <c r="A99" s="761">
        <v>1</v>
      </c>
      <c r="B99" s="762">
        <v>11</v>
      </c>
      <c r="C99" s="762">
        <v>1</v>
      </c>
      <c r="D99" s="1101" t="s">
        <v>821</v>
      </c>
      <c r="E99" s="666">
        <v>103</v>
      </c>
      <c r="F99" s="741" t="s">
        <v>98</v>
      </c>
      <c r="G99" s="765" t="s">
        <v>822</v>
      </c>
      <c r="H99" s="576">
        <v>2135</v>
      </c>
      <c r="I99" s="576">
        <v>4500</v>
      </c>
      <c r="J99" s="576">
        <v>4270</v>
      </c>
      <c r="K99" s="576">
        <f aca="true" t="shared" si="36" ref="K99:K106">L99-J99</f>
        <v>230</v>
      </c>
      <c r="L99" s="575">
        <v>4500</v>
      </c>
      <c r="M99" s="1160">
        <v>3050</v>
      </c>
      <c r="N99" s="575">
        <v>4500</v>
      </c>
      <c r="O99" s="636">
        <f aca="true" t="shared" si="37" ref="O99:O105">N99-I99</f>
        <v>0</v>
      </c>
      <c r="P99" s="636">
        <v>4500</v>
      </c>
      <c r="Q99" s="636"/>
      <c r="R99" s="575">
        <v>4500</v>
      </c>
      <c r="S99" s="621"/>
      <c r="T99" s="1231">
        <f t="shared" si="35"/>
        <v>6635</v>
      </c>
      <c r="V99" s="630">
        <f t="shared" si="25"/>
      </c>
    </row>
    <row r="100" spans="1:22" s="617" customFormat="1" ht="27.75" customHeight="1">
      <c r="A100" s="761">
        <v>1</v>
      </c>
      <c r="B100" s="762">
        <v>11</v>
      </c>
      <c r="C100" s="762">
        <v>1</v>
      </c>
      <c r="D100" s="1101">
        <v>152</v>
      </c>
      <c r="E100" s="666">
        <v>103</v>
      </c>
      <c r="F100" s="741" t="s">
        <v>110</v>
      </c>
      <c r="G100" s="760" t="s">
        <v>475</v>
      </c>
      <c r="H100" s="576">
        <v>9268.54</v>
      </c>
      <c r="I100" s="576">
        <v>17700</v>
      </c>
      <c r="J100" s="576">
        <v>15485.96</v>
      </c>
      <c r="K100" s="576">
        <f t="shared" si="36"/>
        <v>14.040000000000873</v>
      </c>
      <c r="L100" s="575">
        <v>15500</v>
      </c>
      <c r="M100" s="575"/>
      <c r="N100" s="576">
        <v>17700</v>
      </c>
      <c r="O100" s="636">
        <f t="shared" si="37"/>
        <v>0</v>
      </c>
      <c r="P100" s="618">
        <v>17700</v>
      </c>
      <c r="Q100" s="618"/>
      <c r="R100" s="576">
        <v>17700</v>
      </c>
      <c r="S100" s="621"/>
      <c r="T100" s="1231">
        <f t="shared" si="35"/>
        <v>26968.54</v>
      </c>
      <c r="V100" s="630">
        <f t="shared" si="25"/>
      </c>
    </row>
    <row r="101" spans="1:22" s="617" customFormat="1" ht="27.75" customHeight="1">
      <c r="A101" s="761">
        <v>1</v>
      </c>
      <c r="B101" s="762">
        <v>11</v>
      </c>
      <c r="C101" s="762">
        <v>1</v>
      </c>
      <c r="D101" s="1101">
        <v>155</v>
      </c>
      <c r="E101" s="666">
        <v>103</v>
      </c>
      <c r="F101" s="741" t="s">
        <v>110</v>
      </c>
      <c r="G101" s="765" t="s">
        <v>823</v>
      </c>
      <c r="H101" s="576">
        <v>986.6</v>
      </c>
      <c r="I101" s="576"/>
      <c r="J101" s="576"/>
      <c r="K101" s="576">
        <f t="shared" si="36"/>
        <v>0</v>
      </c>
      <c r="L101" s="575"/>
      <c r="M101" s="575"/>
      <c r="N101" s="576"/>
      <c r="O101" s="636">
        <f t="shared" si="37"/>
        <v>0</v>
      </c>
      <c r="P101" s="618"/>
      <c r="Q101" s="618"/>
      <c r="R101" s="576"/>
      <c r="S101" s="621"/>
      <c r="T101" s="1481">
        <f t="shared" si="35"/>
        <v>986.6</v>
      </c>
      <c r="V101" s="630">
        <f t="shared" si="25"/>
      </c>
    </row>
    <row r="102" spans="1:22" s="617" customFormat="1" ht="27.75" customHeight="1">
      <c r="A102" s="761">
        <v>1</v>
      </c>
      <c r="B102" s="762">
        <v>11</v>
      </c>
      <c r="C102" s="762">
        <v>1</v>
      </c>
      <c r="D102" s="1101">
        <v>160</v>
      </c>
      <c r="E102" s="666">
        <v>103</v>
      </c>
      <c r="F102" s="741" t="s">
        <v>432</v>
      </c>
      <c r="G102" s="760" t="s">
        <v>476</v>
      </c>
      <c r="H102" s="576">
        <v>166</v>
      </c>
      <c r="I102" s="576">
        <v>1400</v>
      </c>
      <c r="J102" s="576">
        <v>1692.99</v>
      </c>
      <c r="K102" s="576">
        <f t="shared" si="36"/>
        <v>157.01</v>
      </c>
      <c r="L102" s="575">
        <v>1850</v>
      </c>
      <c r="M102" s="575"/>
      <c r="N102" s="576">
        <v>1900</v>
      </c>
      <c r="O102" s="636">
        <f t="shared" si="37"/>
        <v>500</v>
      </c>
      <c r="P102" s="618">
        <v>1900</v>
      </c>
      <c r="Q102" s="618"/>
      <c r="R102" s="576">
        <v>1900</v>
      </c>
      <c r="S102" s="621"/>
      <c r="T102" s="1231">
        <f t="shared" si="35"/>
        <v>2066</v>
      </c>
      <c r="V102" s="630">
        <f t="shared" si="25"/>
      </c>
    </row>
    <row r="103" spans="1:22" s="617" customFormat="1" ht="27.75" customHeight="1">
      <c r="A103" s="626">
        <v>1</v>
      </c>
      <c r="B103" s="627">
        <v>11</v>
      </c>
      <c r="C103" s="627">
        <v>1</v>
      </c>
      <c r="D103" s="1104">
        <v>190</v>
      </c>
      <c r="E103" s="665">
        <v>110</v>
      </c>
      <c r="F103" s="628" t="s">
        <v>120</v>
      </c>
      <c r="G103" s="775" t="s">
        <v>238</v>
      </c>
      <c r="H103" s="577">
        <v>4045.54</v>
      </c>
      <c r="I103" s="577">
        <v>34000</v>
      </c>
      <c r="J103" s="577">
        <v>32905.33</v>
      </c>
      <c r="K103" s="576">
        <f t="shared" si="36"/>
        <v>1094.6699999999983</v>
      </c>
      <c r="L103" s="577">
        <v>34000</v>
      </c>
      <c r="M103" s="1161">
        <v>3100</v>
      </c>
      <c r="N103" s="577">
        <f>34000-1000</f>
        <v>33000</v>
      </c>
      <c r="O103" s="636">
        <f t="shared" si="37"/>
        <v>-1000</v>
      </c>
      <c r="P103" s="619">
        <v>33000</v>
      </c>
      <c r="Q103" s="618"/>
      <c r="R103" s="577">
        <v>33000</v>
      </c>
      <c r="S103" s="640"/>
      <c r="T103" s="1481">
        <f t="shared" si="35"/>
        <v>37045.54</v>
      </c>
      <c r="V103" s="630">
        <f t="shared" si="25"/>
      </c>
    </row>
    <row r="104" spans="1:22" s="617" customFormat="1" ht="27.75" customHeight="1">
      <c r="A104" s="761">
        <v>1</v>
      </c>
      <c r="B104" s="762">
        <v>11</v>
      </c>
      <c r="C104" s="762">
        <v>1</v>
      </c>
      <c r="D104" s="1101">
        <v>680</v>
      </c>
      <c r="E104" s="666">
        <v>103</v>
      </c>
      <c r="F104" s="741" t="s">
        <v>98</v>
      </c>
      <c r="G104" s="760" t="s">
        <v>479</v>
      </c>
      <c r="H104" s="576">
        <v>5144.98</v>
      </c>
      <c r="I104" s="576">
        <v>5000</v>
      </c>
      <c r="J104" s="576">
        <v>4460</v>
      </c>
      <c r="K104" s="576">
        <f t="shared" si="36"/>
        <v>39.69999999999982</v>
      </c>
      <c r="L104" s="575">
        <v>4499.7</v>
      </c>
      <c r="M104" s="575"/>
      <c r="N104" s="576">
        <v>5000</v>
      </c>
      <c r="O104" s="636">
        <f t="shared" si="37"/>
        <v>0</v>
      </c>
      <c r="P104" s="618">
        <v>5000</v>
      </c>
      <c r="Q104" s="618"/>
      <c r="R104" s="576">
        <v>5000</v>
      </c>
      <c r="S104" s="621"/>
      <c r="T104" s="1498">
        <f t="shared" si="35"/>
        <v>10144.98</v>
      </c>
      <c r="V104" s="630">
        <f t="shared" si="25"/>
      </c>
    </row>
    <row r="105" spans="1:22" s="617" customFormat="1" ht="27.75" customHeight="1">
      <c r="A105" s="761">
        <v>1</v>
      </c>
      <c r="B105" s="762">
        <v>11</v>
      </c>
      <c r="C105" s="762">
        <v>1</v>
      </c>
      <c r="D105" s="1102" t="s">
        <v>480</v>
      </c>
      <c r="E105" s="741">
        <v>102</v>
      </c>
      <c r="F105" s="741" t="s">
        <v>119</v>
      </c>
      <c r="G105" s="760" t="s">
        <v>481</v>
      </c>
      <c r="H105" s="576">
        <v>1427.87</v>
      </c>
      <c r="I105" s="576">
        <v>1000</v>
      </c>
      <c r="J105" s="576">
        <v>0</v>
      </c>
      <c r="K105" s="576">
        <f t="shared" si="36"/>
        <v>1000</v>
      </c>
      <c r="L105" s="575">
        <v>1000</v>
      </c>
      <c r="M105" s="575"/>
      <c r="N105" s="576">
        <v>1000</v>
      </c>
      <c r="O105" s="636">
        <f t="shared" si="37"/>
        <v>0</v>
      </c>
      <c r="P105" s="618">
        <v>1000</v>
      </c>
      <c r="Q105" s="618"/>
      <c r="R105" s="576">
        <v>1000</v>
      </c>
      <c r="S105" s="621"/>
      <c r="T105" s="1498">
        <f t="shared" si="35"/>
        <v>2427.87</v>
      </c>
      <c r="V105" s="630">
        <f t="shared" si="25"/>
      </c>
    </row>
    <row r="106" spans="1:22" s="617" customFormat="1" ht="27.75" customHeight="1">
      <c r="A106" s="761">
        <v>1</v>
      </c>
      <c r="B106" s="762">
        <v>11</v>
      </c>
      <c r="C106" s="762">
        <v>1</v>
      </c>
      <c r="D106" s="1102" t="s">
        <v>482</v>
      </c>
      <c r="E106" s="741">
        <v>103</v>
      </c>
      <c r="F106" s="741" t="s">
        <v>109</v>
      </c>
      <c r="G106" s="760" t="s">
        <v>483</v>
      </c>
      <c r="H106" s="576">
        <v>3087.75</v>
      </c>
      <c r="I106" s="576">
        <v>2000</v>
      </c>
      <c r="J106" s="576">
        <v>1868.8</v>
      </c>
      <c r="K106" s="576">
        <f t="shared" si="36"/>
        <v>131.20000000000005</v>
      </c>
      <c r="L106" s="575">
        <v>2000</v>
      </c>
      <c r="M106" s="575"/>
      <c r="N106" s="576">
        <v>2000</v>
      </c>
      <c r="O106" s="636">
        <f>N106-I106</f>
        <v>0</v>
      </c>
      <c r="P106" s="618">
        <v>2000</v>
      </c>
      <c r="Q106" s="618"/>
      <c r="R106" s="576">
        <v>2000</v>
      </c>
      <c r="S106" s="621"/>
      <c r="T106" s="1498">
        <f t="shared" si="35"/>
        <v>5087.75</v>
      </c>
      <c r="V106" s="630">
        <f t="shared" si="25"/>
      </c>
    </row>
    <row r="107" spans="1:22" s="686" customFormat="1" ht="21" customHeight="1" thickBot="1">
      <c r="A107" s="1322" t="s">
        <v>42</v>
      </c>
      <c r="B107" s="1323"/>
      <c r="C107" s="1323"/>
      <c r="D107" s="1323"/>
      <c r="E107" s="1323"/>
      <c r="F107" s="1323"/>
      <c r="G107" s="1324"/>
      <c r="H107" s="1487">
        <f aca="true" t="shared" si="38" ref="H107:T107">SUM(H97:H106)</f>
        <v>53074.48</v>
      </c>
      <c r="I107" s="793">
        <f t="shared" si="38"/>
        <v>85600</v>
      </c>
      <c r="J107" s="793">
        <f t="shared" si="38"/>
        <v>81982.48</v>
      </c>
      <c r="K107" s="793">
        <f t="shared" si="38"/>
        <v>4872.369999999999</v>
      </c>
      <c r="L107" s="584">
        <f t="shared" si="38"/>
        <v>86854.84999999999</v>
      </c>
      <c r="M107" s="584">
        <f t="shared" si="38"/>
        <v>12173.810000000001</v>
      </c>
      <c r="N107" s="584">
        <f t="shared" si="38"/>
        <v>80100</v>
      </c>
      <c r="O107" s="584">
        <f t="shared" si="38"/>
        <v>-5500</v>
      </c>
      <c r="P107" s="584">
        <f t="shared" si="38"/>
        <v>80100</v>
      </c>
      <c r="Q107" s="794">
        <f t="shared" si="38"/>
        <v>0</v>
      </c>
      <c r="R107" s="794">
        <f t="shared" si="38"/>
        <v>80100</v>
      </c>
      <c r="S107" s="794">
        <f t="shared" si="38"/>
        <v>0</v>
      </c>
      <c r="T107" s="673">
        <f t="shared" si="38"/>
        <v>133174.47999999998</v>
      </c>
      <c r="V107" s="630">
        <f t="shared" si="25"/>
      </c>
    </row>
    <row r="108" spans="1:26" s="686" customFormat="1" ht="21" customHeight="1" thickBot="1">
      <c r="A108" s="1262" t="s">
        <v>29</v>
      </c>
      <c r="B108" s="1263"/>
      <c r="C108" s="1263"/>
      <c r="D108" s="1263"/>
      <c r="E108" s="1263"/>
      <c r="F108" s="1263"/>
      <c r="G108" s="1264"/>
      <c r="H108" s="1488">
        <f aca="true" t="shared" si="39" ref="H108:T108">H20+H35+H43+H48+H55+H64+H73+H80+H84+H96+H107</f>
        <v>348314.36</v>
      </c>
      <c r="I108" s="585">
        <f t="shared" si="39"/>
        <v>950002</v>
      </c>
      <c r="J108" s="585">
        <f t="shared" si="39"/>
        <v>1010972.84</v>
      </c>
      <c r="K108" s="585">
        <f t="shared" si="39"/>
        <v>130818.56</v>
      </c>
      <c r="L108" s="585">
        <f t="shared" si="39"/>
        <v>1141791.4000000001</v>
      </c>
      <c r="M108" s="585">
        <f t="shared" si="39"/>
        <v>88175.66999999998</v>
      </c>
      <c r="N108" s="585">
        <f t="shared" si="39"/>
        <v>1099574</v>
      </c>
      <c r="O108" s="585">
        <f t="shared" si="39"/>
        <v>146572</v>
      </c>
      <c r="P108" s="585">
        <f t="shared" si="39"/>
        <v>1022481</v>
      </c>
      <c r="Q108" s="585">
        <f t="shared" si="39"/>
        <v>0</v>
      </c>
      <c r="R108" s="585">
        <f t="shared" si="39"/>
        <v>1022111</v>
      </c>
      <c r="S108" s="585">
        <f t="shared" si="39"/>
        <v>44418.93</v>
      </c>
      <c r="T108" s="586">
        <f t="shared" si="39"/>
        <v>1447888.3599999999</v>
      </c>
      <c r="V108" s="630">
        <f t="shared" si="25"/>
      </c>
      <c r="X108" s="687"/>
      <c r="Z108" s="687"/>
    </row>
    <row r="109" spans="1:22" s="686" customFormat="1" ht="21" customHeight="1" thickBot="1">
      <c r="A109" s="1262" t="s">
        <v>31</v>
      </c>
      <c r="B109" s="1263"/>
      <c r="C109" s="1263"/>
      <c r="D109" s="1263"/>
      <c r="E109" s="1263"/>
      <c r="F109" s="1263"/>
      <c r="G109" s="1264"/>
      <c r="H109" s="1279"/>
      <c r="I109" s="1280"/>
      <c r="J109" s="1280"/>
      <c r="K109" s="1280"/>
      <c r="L109" s="1280"/>
      <c r="M109" s="1280"/>
      <c r="N109" s="1280"/>
      <c r="O109" s="1280"/>
      <c r="P109" s="1280"/>
      <c r="Q109" s="1280"/>
      <c r="R109" s="1280"/>
      <c r="S109" s="1280"/>
      <c r="T109" s="1280"/>
      <c r="V109" s="630">
        <f t="shared" si="25"/>
      </c>
    </row>
    <row r="110" spans="1:22" s="617" customFormat="1" ht="27.75" customHeight="1">
      <c r="A110" s="756">
        <v>3</v>
      </c>
      <c r="B110" s="757">
        <v>1</v>
      </c>
      <c r="C110" s="757">
        <v>1</v>
      </c>
      <c r="D110" s="1105">
        <v>420</v>
      </c>
      <c r="E110" s="776">
        <v>101</v>
      </c>
      <c r="F110" s="740" t="s">
        <v>96</v>
      </c>
      <c r="G110" s="787" t="s">
        <v>811</v>
      </c>
      <c r="H110" s="579"/>
      <c r="I110" s="579">
        <v>26800</v>
      </c>
      <c r="J110" s="579">
        <v>27700</v>
      </c>
      <c r="K110" s="579">
        <f>L110-J110</f>
        <v>596.1100000000006</v>
      </c>
      <c r="L110" s="579">
        <v>28296.11</v>
      </c>
      <c r="M110" s="579"/>
      <c r="N110" s="574">
        <v>27950</v>
      </c>
      <c r="O110" s="1067">
        <f>N110-I110</f>
        <v>1150</v>
      </c>
      <c r="P110" s="1067">
        <v>27950</v>
      </c>
      <c r="Q110" s="633"/>
      <c r="R110" s="574">
        <v>27950</v>
      </c>
      <c r="S110" s="624"/>
      <c r="T110" s="1500">
        <f aca="true" t="shared" si="40" ref="T110:T118">H110+N110</f>
        <v>27950</v>
      </c>
      <c r="V110" s="630">
        <f t="shared" si="25"/>
      </c>
    </row>
    <row r="111" spans="1:22" s="617" customFormat="1" ht="27.75" customHeight="1">
      <c r="A111" s="756"/>
      <c r="B111" s="757">
        <v>1</v>
      </c>
      <c r="C111" s="757">
        <v>1</v>
      </c>
      <c r="D111" s="1105">
        <v>421</v>
      </c>
      <c r="E111" s="776">
        <v>101</v>
      </c>
      <c r="F111" s="740" t="s">
        <v>1093</v>
      </c>
      <c r="G111" s="787" t="s">
        <v>1094</v>
      </c>
      <c r="H111" s="579"/>
      <c r="I111" s="579"/>
      <c r="J111" s="579">
        <v>1025.47</v>
      </c>
      <c r="K111" s="579">
        <f>L111-J111</f>
        <v>0</v>
      </c>
      <c r="L111" s="579">
        <v>1025.47</v>
      </c>
      <c r="M111" s="579"/>
      <c r="N111" s="574"/>
      <c r="O111" s="1067">
        <f>N111-I111</f>
        <v>0</v>
      </c>
      <c r="P111" s="1067"/>
      <c r="Q111" s="1067"/>
      <c r="R111" s="574"/>
      <c r="S111" s="624"/>
      <c r="T111" s="638">
        <f t="shared" si="40"/>
        <v>0</v>
      </c>
      <c r="V111" s="630">
        <f t="shared" si="25"/>
      </c>
    </row>
    <row r="112" spans="1:22" s="617" customFormat="1" ht="27.75" customHeight="1">
      <c r="A112" s="761">
        <v>3</v>
      </c>
      <c r="B112" s="762">
        <v>1</v>
      </c>
      <c r="C112" s="762">
        <v>1</v>
      </c>
      <c r="D112" s="1101">
        <v>430</v>
      </c>
      <c r="E112" s="666">
        <v>101</v>
      </c>
      <c r="F112" s="741" t="s">
        <v>97</v>
      </c>
      <c r="G112" s="765" t="s">
        <v>812</v>
      </c>
      <c r="H112" s="576"/>
      <c r="I112" s="576">
        <v>7700</v>
      </c>
      <c r="J112" s="576">
        <v>7750</v>
      </c>
      <c r="K112" s="579">
        <f aca="true" t="shared" si="41" ref="K112:K118">L112-J112</f>
        <v>751</v>
      </c>
      <c r="L112" s="576">
        <v>8501</v>
      </c>
      <c r="M112" s="576"/>
      <c r="N112" s="575">
        <v>7950</v>
      </c>
      <c r="O112" s="1067">
        <f aca="true" t="shared" si="42" ref="O112:O118">N112-I112</f>
        <v>250</v>
      </c>
      <c r="P112" s="636">
        <v>7950</v>
      </c>
      <c r="Q112" s="636"/>
      <c r="R112" s="575">
        <v>7950</v>
      </c>
      <c r="S112" s="621"/>
      <c r="T112" s="1498">
        <f t="shared" si="40"/>
        <v>7950</v>
      </c>
      <c r="V112" s="630">
        <f t="shared" si="25"/>
      </c>
    </row>
    <row r="113" spans="1:22" s="617" customFormat="1" ht="27.75" customHeight="1">
      <c r="A113" s="756">
        <v>3</v>
      </c>
      <c r="B113" s="757">
        <v>1</v>
      </c>
      <c r="C113" s="757">
        <v>1</v>
      </c>
      <c r="D113" s="1105">
        <v>435</v>
      </c>
      <c r="E113" s="776">
        <v>102</v>
      </c>
      <c r="F113" s="740" t="s">
        <v>104</v>
      </c>
      <c r="G113" s="759" t="s">
        <v>240</v>
      </c>
      <c r="H113" s="576"/>
      <c r="I113" s="576">
        <v>2400</v>
      </c>
      <c r="J113" s="576">
        <v>2500</v>
      </c>
      <c r="K113" s="579">
        <f t="shared" si="41"/>
        <v>259</v>
      </c>
      <c r="L113" s="576">
        <v>2759</v>
      </c>
      <c r="M113" s="576"/>
      <c r="N113" s="575">
        <v>2420</v>
      </c>
      <c r="O113" s="1067">
        <f t="shared" si="42"/>
        <v>20</v>
      </c>
      <c r="P113" s="636">
        <v>2420</v>
      </c>
      <c r="Q113" s="636"/>
      <c r="R113" s="575">
        <v>2420</v>
      </c>
      <c r="S113" s="621"/>
      <c r="T113" s="1498">
        <f t="shared" si="40"/>
        <v>2420</v>
      </c>
      <c r="V113" s="630">
        <f t="shared" si="25"/>
      </c>
    </row>
    <row r="114" spans="1:22" s="617" customFormat="1" ht="27.75" customHeight="1">
      <c r="A114" s="756">
        <v>3</v>
      </c>
      <c r="B114" s="757">
        <v>1</v>
      </c>
      <c r="C114" s="757">
        <v>1</v>
      </c>
      <c r="D114" s="1105">
        <v>450</v>
      </c>
      <c r="E114" s="776">
        <v>101</v>
      </c>
      <c r="F114" s="740" t="s">
        <v>883</v>
      </c>
      <c r="G114" s="787" t="s">
        <v>639</v>
      </c>
      <c r="H114" s="576">
        <v>2826.8</v>
      </c>
      <c r="I114" s="576">
        <v>6000</v>
      </c>
      <c r="J114" s="576">
        <v>0</v>
      </c>
      <c r="K114" s="579">
        <f t="shared" si="41"/>
        <v>500</v>
      </c>
      <c r="L114" s="576">
        <v>500</v>
      </c>
      <c r="M114" s="576"/>
      <c r="N114" s="575"/>
      <c r="O114" s="1067">
        <f t="shared" si="42"/>
        <v>-6000</v>
      </c>
      <c r="P114" s="636"/>
      <c r="Q114" s="636"/>
      <c r="R114" s="575"/>
      <c r="S114" s="621"/>
      <c r="T114" s="1493">
        <f t="shared" si="40"/>
        <v>2826.8</v>
      </c>
      <c r="V114" s="630">
        <f t="shared" si="25"/>
      </c>
    </row>
    <row r="115" spans="1:22" s="617" customFormat="1" ht="27.75" customHeight="1">
      <c r="A115" s="756">
        <v>3</v>
      </c>
      <c r="B115" s="757">
        <v>1</v>
      </c>
      <c r="C115" s="757">
        <v>1</v>
      </c>
      <c r="D115" s="1105">
        <v>451</v>
      </c>
      <c r="E115" s="776">
        <v>104</v>
      </c>
      <c r="F115" s="740" t="s">
        <v>1091</v>
      </c>
      <c r="G115" s="787" t="s">
        <v>1092</v>
      </c>
      <c r="H115" s="576"/>
      <c r="I115" s="576">
        <v>0</v>
      </c>
      <c r="J115" s="576">
        <v>0</v>
      </c>
      <c r="K115" s="579">
        <v>0</v>
      </c>
      <c r="L115" s="576">
        <v>0</v>
      </c>
      <c r="M115" s="576"/>
      <c r="N115" s="575">
        <v>10000</v>
      </c>
      <c r="O115" s="1067">
        <f t="shared" si="42"/>
        <v>10000</v>
      </c>
      <c r="P115" s="636">
        <v>10000</v>
      </c>
      <c r="Q115" s="636"/>
      <c r="R115" s="575">
        <v>10000</v>
      </c>
      <c r="S115" s="621"/>
      <c r="T115" s="1493">
        <f t="shared" si="40"/>
        <v>10000</v>
      </c>
      <c r="V115" s="630">
        <f t="shared" si="25"/>
      </c>
    </row>
    <row r="116" spans="1:22" s="617" customFormat="1" ht="39" customHeight="1">
      <c r="A116" s="756">
        <v>3</v>
      </c>
      <c r="B116" s="757">
        <v>1</v>
      </c>
      <c r="C116" s="757">
        <v>1</v>
      </c>
      <c r="D116" s="1105">
        <v>455</v>
      </c>
      <c r="E116" s="776">
        <v>104</v>
      </c>
      <c r="F116" s="740" t="s">
        <v>884</v>
      </c>
      <c r="G116" s="787" t="s">
        <v>1007</v>
      </c>
      <c r="H116" s="576">
        <v>10000</v>
      </c>
      <c r="I116" s="576"/>
      <c r="J116" s="576">
        <v>10000</v>
      </c>
      <c r="K116" s="579">
        <f t="shared" si="41"/>
        <v>0</v>
      </c>
      <c r="L116" s="576">
        <v>10000</v>
      </c>
      <c r="M116" s="576"/>
      <c r="N116" s="575">
        <v>20000</v>
      </c>
      <c r="O116" s="1067">
        <f t="shared" si="42"/>
        <v>20000</v>
      </c>
      <c r="P116" s="636">
        <v>20000</v>
      </c>
      <c r="Q116" s="636"/>
      <c r="R116" s="575">
        <v>20000</v>
      </c>
      <c r="S116" s="621"/>
      <c r="T116" s="1493">
        <f t="shared" si="40"/>
        <v>30000</v>
      </c>
      <c r="V116" s="630">
        <f t="shared" si="25"/>
      </c>
    </row>
    <row r="117" spans="1:22" s="617" customFormat="1" ht="27.75" customHeight="1">
      <c r="A117" s="756">
        <v>3</v>
      </c>
      <c r="B117" s="757">
        <v>1</v>
      </c>
      <c r="C117" s="757">
        <v>1</v>
      </c>
      <c r="D117" s="1105">
        <v>456</v>
      </c>
      <c r="E117" s="776">
        <v>103</v>
      </c>
      <c r="F117" s="740" t="s">
        <v>884</v>
      </c>
      <c r="G117" s="787" t="s">
        <v>861</v>
      </c>
      <c r="H117" s="576">
        <v>743.93</v>
      </c>
      <c r="I117" s="576"/>
      <c r="J117" s="576"/>
      <c r="K117" s="579">
        <f t="shared" si="41"/>
        <v>0</v>
      </c>
      <c r="L117" s="576"/>
      <c r="M117" s="576"/>
      <c r="N117" s="576"/>
      <c r="O117" s="1067">
        <f t="shared" si="42"/>
        <v>0</v>
      </c>
      <c r="P117" s="618"/>
      <c r="Q117" s="618"/>
      <c r="R117" s="576"/>
      <c r="S117" s="621"/>
      <c r="T117" s="1493">
        <f t="shared" si="40"/>
        <v>743.93</v>
      </c>
      <c r="V117" s="630">
        <f t="shared" si="25"/>
      </c>
    </row>
    <row r="118" spans="1:22" s="617" customFormat="1" ht="27.75" customHeight="1">
      <c r="A118" s="761">
        <v>3</v>
      </c>
      <c r="B118" s="762">
        <v>1</v>
      </c>
      <c r="C118" s="762">
        <v>1</v>
      </c>
      <c r="D118" s="1101">
        <v>460</v>
      </c>
      <c r="E118" s="666">
        <v>103</v>
      </c>
      <c r="F118" s="741" t="s">
        <v>102</v>
      </c>
      <c r="G118" s="765" t="s">
        <v>667</v>
      </c>
      <c r="H118" s="576">
        <v>3455</v>
      </c>
      <c r="I118" s="576">
        <v>2000</v>
      </c>
      <c r="J118" s="576">
        <v>4000</v>
      </c>
      <c r="K118" s="579">
        <f t="shared" si="41"/>
        <v>0</v>
      </c>
      <c r="L118" s="576">
        <v>4000</v>
      </c>
      <c r="M118" s="576"/>
      <c r="N118" s="576">
        <v>2000</v>
      </c>
      <c r="O118" s="1067">
        <f t="shared" si="42"/>
        <v>0</v>
      </c>
      <c r="P118" s="618">
        <v>2000</v>
      </c>
      <c r="Q118" s="618"/>
      <c r="R118" s="576">
        <v>2000</v>
      </c>
      <c r="S118" s="621"/>
      <c r="T118" s="1493">
        <f t="shared" si="40"/>
        <v>5455</v>
      </c>
      <c r="V118" s="630">
        <f t="shared" si="25"/>
      </c>
    </row>
    <row r="119" spans="1:22" s="686" customFormat="1" ht="21" customHeight="1" thickBot="1">
      <c r="A119" s="1274" t="s">
        <v>351</v>
      </c>
      <c r="B119" s="1275"/>
      <c r="C119" s="1275"/>
      <c r="D119" s="1275"/>
      <c r="E119" s="1275"/>
      <c r="F119" s="1275"/>
      <c r="G119" s="1275"/>
      <c r="H119" s="1487">
        <f aca="true" t="shared" si="43" ref="H119:T119">SUM(H110:H118)</f>
        <v>17025.73</v>
      </c>
      <c r="I119" s="793">
        <f t="shared" si="43"/>
        <v>44900</v>
      </c>
      <c r="J119" s="793">
        <f t="shared" si="43"/>
        <v>52975.47</v>
      </c>
      <c r="K119" s="793">
        <f t="shared" si="43"/>
        <v>2106.1100000000006</v>
      </c>
      <c r="L119" s="584">
        <f t="shared" si="43"/>
        <v>55081.58</v>
      </c>
      <c r="M119" s="584">
        <f t="shared" si="43"/>
        <v>0</v>
      </c>
      <c r="N119" s="584">
        <f t="shared" si="43"/>
        <v>70320</v>
      </c>
      <c r="O119" s="584">
        <f t="shared" si="43"/>
        <v>25420</v>
      </c>
      <c r="P119" s="584">
        <f t="shared" si="43"/>
        <v>70320</v>
      </c>
      <c r="Q119" s="794">
        <f t="shared" si="43"/>
        <v>0</v>
      </c>
      <c r="R119" s="794">
        <f t="shared" si="43"/>
        <v>70320</v>
      </c>
      <c r="S119" s="794">
        <f t="shared" si="43"/>
        <v>0</v>
      </c>
      <c r="T119" s="674">
        <f t="shared" si="43"/>
        <v>87345.73</v>
      </c>
      <c r="V119" s="630">
        <f t="shared" si="25"/>
      </c>
    </row>
    <row r="120" spans="1:26" s="686" customFormat="1" ht="21" customHeight="1" thickBot="1">
      <c r="A120" s="1262" t="s">
        <v>32</v>
      </c>
      <c r="B120" s="1263"/>
      <c r="C120" s="1263"/>
      <c r="D120" s="1263"/>
      <c r="E120" s="1263"/>
      <c r="F120" s="1263"/>
      <c r="G120" s="1264"/>
      <c r="H120" s="1489">
        <f>H119</f>
        <v>17025.73</v>
      </c>
      <c r="I120" s="586">
        <f aca="true" t="shared" si="44" ref="I120:O120">I119</f>
        <v>44900</v>
      </c>
      <c r="J120" s="586">
        <f t="shared" si="44"/>
        <v>52975.47</v>
      </c>
      <c r="K120" s="586">
        <f t="shared" si="44"/>
        <v>2106.1100000000006</v>
      </c>
      <c r="L120" s="586">
        <f t="shared" si="44"/>
        <v>55081.58</v>
      </c>
      <c r="M120" s="586">
        <f t="shared" si="44"/>
        <v>0</v>
      </c>
      <c r="N120" s="586">
        <f t="shared" si="44"/>
        <v>70320</v>
      </c>
      <c r="O120" s="586">
        <f t="shared" si="44"/>
        <v>25420</v>
      </c>
      <c r="P120" s="586">
        <f>P119</f>
        <v>70320</v>
      </c>
      <c r="Q120" s="586">
        <f>Q119</f>
        <v>0</v>
      </c>
      <c r="R120" s="586">
        <f>R119</f>
        <v>70320</v>
      </c>
      <c r="S120" s="586">
        <f>S119</f>
        <v>0</v>
      </c>
      <c r="T120" s="586">
        <f>T119</f>
        <v>87345.73</v>
      </c>
      <c r="V120" s="630">
        <f t="shared" si="25"/>
      </c>
      <c r="X120" s="687"/>
      <c r="Z120" s="687"/>
    </row>
    <row r="121" spans="1:22" s="686" customFormat="1" ht="21" customHeight="1" thickBot="1">
      <c r="A121" s="1262" t="s">
        <v>43</v>
      </c>
      <c r="B121" s="1263"/>
      <c r="C121" s="1263"/>
      <c r="D121" s="1263"/>
      <c r="E121" s="1263"/>
      <c r="F121" s="1263"/>
      <c r="G121" s="1264"/>
      <c r="H121" s="1279"/>
      <c r="I121" s="1280"/>
      <c r="J121" s="1280"/>
      <c r="K121" s="1280"/>
      <c r="L121" s="1280"/>
      <c r="M121" s="1280"/>
      <c r="N121" s="1280"/>
      <c r="O121" s="1280"/>
      <c r="P121" s="1280"/>
      <c r="Q121" s="1280"/>
      <c r="R121" s="1280"/>
      <c r="S121" s="1280"/>
      <c r="T121" s="1280"/>
      <c r="V121" s="630">
        <f t="shared" si="25"/>
      </c>
    </row>
    <row r="122" spans="1:22" s="617" customFormat="1" ht="27.75" customHeight="1">
      <c r="A122" s="761">
        <v>4</v>
      </c>
      <c r="B122" s="762">
        <v>1</v>
      </c>
      <c r="C122" s="762">
        <v>1</v>
      </c>
      <c r="D122" s="1101">
        <v>470</v>
      </c>
      <c r="E122" s="666">
        <v>110</v>
      </c>
      <c r="F122" s="741" t="s">
        <v>212</v>
      </c>
      <c r="G122" s="760" t="s">
        <v>241</v>
      </c>
      <c r="H122" s="576">
        <v>24164</v>
      </c>
      <c r="I122" s="576">
        <v>40000</v>
      </c>
      <c r="J122" s="576">
        <v>36816.78</v>
      </c>
      <c r="K122" s="576">
        <f>L122-J122</f>
        <v>3183.220000000001</v>
      </c>
      <c r="L122" s="576">
        <v>40000</v>
      </c>
      <c r="M122" s="1162">
        <v>20000</v>
      </c>
      <c r="N122" s="576">
        <v>30000</v>
      </c>
      <c r="O122" s="618">
        <f>N122-I122</f>
        <v>-10000</v>
      </c>
      <c r="P122" s="618">
        <v>30000</v>
      </c>
      <c r="Q122" s="618"/>
      <c r="R122" s="576">
        <v>30000</v>
      </c>
      <c r="S122" s="621"/>
      <c r="T122" s="1500">
        <f>H122+N122</f>
        <v>54164</v>
      </c>
      <c r="V122" s="630">
        <f t="shared" si="25"/>
      </c>
    </row>
    <row r="123" spans="1:22" s="617" customFormat="1" ht="27.75" customHeight="1">
      <c r="A123" s="761">
        <v>4</v>
      </c>
      <c r="B123" s="762">
        <v>1</v>
      </c>
      <c r="C123" s="762">
        <v>1</v>
      </c>
      <c r="D123" s="1101" t="s">
        <v>1161</v>
      </c>
      <c r="E123" s="666">
        <v>104</v>
      </c>
      <c r="F123" s="741" t="s">
        <v>1095</v>
      </c>
      <c r="G123" s="765" t="s">
        <v>1146</v>
      </c>
      <c r="H123" s="576"/>
      <c r="I123" s="576"/>
      <c r="J123" s="576"/>
      <c r="K123" s="576"/>
      <c r="L123" s="576"/>
      <c r="M123" s="576"/>
      <c r="N123" s="576">
        <v>13000</v>
      </c>
      <c r="O123" s="618"/>
      <c r="P123" s="618">
        <v>13000</v>
      </c>
      <c r="Q123" s="618"/>
      <c r="R123" s="576">
        <v>13000</v>
      </c>
      <c r="S123" s="621"/>
      <c r="T123" s="1498">
        <f>H123+N123</f>
        <v>13000</v>
      </c>
      <c r="V123" s="630">
        <f t="shared" si="25"/>
      </c>
    </row>
    <row r="124" spans="1:22" s="617" customFormat="1" ht="44.25" customHeight="1">
      <c r="A124" s="761">
        <v>4</v>
      </c>
      <c r="B124" s="762">
        <v>1</v>
      </c>
      <c r="C124" s="762">
        <v>1</v>
      </c>
      <c r="D124" s="1101">
        <v>476</v>
      </c>
      <c r="E124" s="666">
        <v>104</v>
      </c>
      <c r="F124" s="741" t="s">
        <v>1095</v>
      </c>
      <c r="G124" s="765" t="s">
        <v>1113</v>
      </c>
      <c r="H124" s="576"/>
      <c r="I124" s="576">
        <v>0</v>
      </c>
      <c r="J124" s="576">
        <v>0</v>
      </c>
      <c r="K124" s="576">
        <f>L124-J124</f>
        <v>7673.12</v>
      </c>
      <c r="L124" s="576">
        <v>7673.12</v>
      </c>
      <c r="M124" s="576"/>
      <c r="N124" s="576">
        <v>7674</v>
      </c>
      <c r="O124" s="618">
        <f>N124-I124</f>
        <v>7674</v>
      </c>
      <c r="P124" s="618">
        <v>7674</v>
      </c>
      <c r="Q124" s="618"/>
      <c r="R124" s="576">
        <v>7674</v>
      </c>
      <c r="S124" s="621"/>
      <c r="T124" s="1498">
        <f>H124+N124</f>
        <v>7674</v>
      </c>
      <c r="V124" s="630">
        <f t="shared" si="25"/>
      </c>
    </row>
    <row r="125" spans="1:22" s="617" customFormat="1" ht="42" customHeight="1">
      <c r="A125" s="761">
        <v>4</v>
      </c>
      <c r="B125" s="762">
        <v>1</v>
      </c>
      <c r="C125" s="762">
        <v>1</v>
      </c>
      <c r="D125" s="1101">
        <v>477</v>
      </c>
      <c r="E125" s="666">
        <v>104</v>
      </c>
      <c r="F125" s="741" t="s">
        <v>1095</v>
      </c>
      <c r="G125" s="765" t="s">
        <v>1112</v>
      </c>
      <c r="H125" s="576"/>
      <c r="I125" s="576">
        <v>0</v>
      </c>
      <c r="J125" s="576">
        <v>0</v>
      </c>
      <c r="K125" s="576">
        <f>L125-J125</f>
        <v>3475.44</v>
      </c>
      <c r="L125" s="576">
        <v>3475.44</v>
      </c>
      <c r="M125" s="576"/>
      <c r="N125" s="576">
        <v>3474</v>
      </c>
      <c r="O125" s="618">
        <f>N125-I125</f>
        <v>3474</v>
      </c>
      <c r="P125" s="618">
        <v>3474</v>
      </c>
      <c r="Q125" s="618"/>
      <c r="R125" s="576">
        <v>3474</v>
      </c>
      <c r="S125" s="621"/>
      <c r="T125" s="1497">
        <f>H125+N125</f>
        <v>3474</v>
      </c>
      <c r="V125" s="630">
        <f t="shared" si="25"/>
      </c>
    </row>
    <row r="126" spans="1:22" s="686" customFormat="1" ht="21" customHeight="1">
      <c r="A126" s="1276" t="s">
        <v>352</v>
      </c>
      <c r="B126" s="1277"/>
      <c r="C126" s="1277"/>
      <c r="D126" s="1277"/>
      <c r="E126" s="1277"/>
      <c r="F126" s="1277"/>
      <c r="G126" s="1278"/>
      <c r="H126" s="1486">
        <f>SUM(H122:H122)</f>
        <v>24164</v>
      </c>
      <c r="I126" s="580">
        <f>SUM(I122:I125)</f>
        <v>40000</v>
      </c>
      <c r="J126" s="580">
        <f aca="true" t="shared" si="45" ref="J126:S126">SUM(J122:J125)</f>
        <v>36816.78</v>
      </c>
      <c r="K126" s="580">
        <f t="shared" si="45"/>
        <v>14331.78</v>
      </c>
      <c r="L126" s="580">
        <f t="shared" si="45"/>
        <v>51148.560000000005</v>
      </c>
      <c r="M126" s="580">
        <f t="shared" si="45"/>
        <v>20000</v>
      </c>
      <c r="N126" s="580">
        <f t="shared" si="45"/>
        <v>54148</v>
      </c>
      <c r="O126" s="580">
        <f t="shared" si="45"/>
        <v>1148</v>
      </c>
      <c r="P126" s="580">
        <f t="shared" si="45"/>
        <v>54148</v>
      </c>
      <c r="Q126" s="580">
        <f t="shared" si="45"/>
        <v>0</v>
      </c>
      <c r="R126" s="580">
        <f t="shared" si="45"/>
        <v>54148</v>
      </c>
      <c r="S126" s="580">
        <f t="shared" si="45"/>
        <v>0</v>
      </c>
      <c r="T126" s="670">
        <f>SUM(T122:T125)</f>
        <v>78312</v>
      </c>
      <c r="V126" s="630">
        <f t="shared" si="25"/>
      </c>
    </row>
    <row r="127" spans="1:22" s="617" customFormat="1" ht="27" customHeight="1">
      <c r="A127" s="761">
        <v>4</v>
      </c>
      <c r="B127" s="762">
        <v>2</v>
      </c>
      <c r="C127" s="762">
        <v>1</v>
      </c>
      <c r="D127" s="1101">
        <v>505</v>
      </c>
      <c r="E127" s="666">
        <v>103</v>
      </c>
      <c r="F127" s="741" t="s">
        <v>106</v>
      </c>
      <c r="G127" s="765" t="s">
        <v>640</v>
      </c>
      <c r="H127" s="576">
        <v>25629.07</v>
      </c>
      <c r="I127" s="576">
        <v>20000</v>
      </c>
      <c r="J127" s="576">
        <v>27600</v>
      </c>
      <c r="K127" s="576">
        <f>L127-J127</f>
        <v>3900</v>
      </c>
      <c r="L127" s="576">
        <v>31500</v>
      </c>
      <c r="M127" s="1162">
        <v>8800</v>
      </c>
      <c r="N127" s="618">
        <v>30000</v>
      </c>
      <c r="O127" s="618">
        <f>N127-I127</f>
        <v>10000</v>
      </c>
      <c r="P127" s="575">
        <v>30000</v>
      </c>
      <c r="Q127" s="636"/>
      <c r="R127" s="575">
        <v>30000</v>
      </c>
      <c r="S127" s="621"/>
      <c r="T127" s="1498">
        <f aca="true" t="shared" si="46" ref="T127:T136">H127+N127</f>
        <v>55629.07</v>
      </c>
      <c r="V127" s="630">
        <f t="shared" si="25"/>
      </c>
    </row>
    <row r="128" spans="1:22" s="617" customFormat="1" ht="27.75" customHeight="1">
      <c r="A128" s="756">
        <v>4</v>
      </c>
      <c r="B128" s="757">
        <v>2</v>
      </c>
      <c r="C128" s="757">
        <v>1</v>
      </c>
      <c r="D128" s="1105">
        <v>515</v>
      </c>
      <c r="E128" s="776">
        <v>103</v>
      </c>
      <c r="F128" s="740" t="s">
        <v>106</v>
      </c>
      <c r="G128" s="759" t="s">
        <v>485</v>
      </c>
      <c r="H128" s="576">
        <v>181.67</v>
      </c>
      <c r="I128" s="576">
        <v>3000</v>
      </c>
      <c r="J128" s="576">
        <v>0</v>
      </c>
      <c r="K128" s="576">
        <f>L128-J128</f>
        <v>3000</v>
      </c>
      <c r="L128" s="576">
        <v>3000</v>
      </c>
      <c r="M128" s="576"/>
      <c r="N128" s="618">
        <v>3000</v>
      </c>
      <c r="O128" s="618">
        <f>N128-I128</f>
        <v>0</v>
      </c>
      <c r="P128" s="575">
        <v>3000</v>
      </c>
      <c r="Q128" s="636"/>
      <c r="R128" s="575">
        <v>3000</v>
      </c>
      <c r="S128" s="621"/>
      <c r="T128" s="1493">
        <f t="shared" si="46"/>
        <v>3181.67</v>
      </c>
      <c r="V128" s="630">
        <f t="shared" si="25"/>
      </c>
    </row>
    <row r="129" spans="1:22" s="1470" customFormat="1" ht="27.75" customHeight="1">
      <c r="A129" s="761">
        <v>4</v>
      </c>
      <c r="B129" s="762">
        <v>2</v>
      </c>
      <c r="C129" s="762">
        <v>1</v>
      </c>
      <c r="D129" s="1101">
        <v>516</v>
      </c>
      <c r="E129" s="666">
        <v>104</v>
      </c>
      <c r="F129" s="741" t="s">
        <v>105</v>
      </c>
      <c r="G129" s="765" t="s">
        <v>486</v>
      </c>
      <c r="H129" s="575">
        <v>5465.51</v>
      </c>
      <c r="I129" s="575">
        <v>3500</v>
      </c>
      <c r="J129" s="575">
        <v>3496</v>
      </c>
      <c r="K129" s="575">
        <f aca="true" t="shared" si="47" ref="K129:K137">L129-J129</f>
        <v>4</v>
      </c>
      <c r="L129" s="575">
        <v>3500</v>
      </c>
      <c r="M129" s="575">
        <v>3400</v>
      </c>
      <c r="N129" s="636">
        <v>4000</v>
      </c>
      <c r="O129" s="636">
        <f aca="true" t="shared" si="48" ref="O129:O137">N129-I129</f>
        <v>500</v>
      </c>
      <c r="P129" s="575">
        <v>4000</v>
      </c>
      <c r="Q129" s="636"/>
      <c r="R129" s="575">
        <v>4000</v>
      </c>
      <c r="S129" s="637"/>
      <c r="T129" s="1498">
        <f t="shared" si="46"/>
        <v>9465.51</v>
      </c>
      <c r="V129" s="630">
        <f t="shared" si="25"/>
      </c>
    </row>
    <row r="130" spans="1:22" s="617" customFormat="1" ht="27.75" customHeight="1">
      <c r="A130" s="626">
        <v>4</v>
      </c>
      <c r="B130" s="627">
        <v>2</v>
      </c>
      <c r="C130" s="627">
        <v>1</v>
      </c>
      <c r="D130" s="1104">
        <v>518</v>
      </c>
      <c r="E130" s="665">
        <v>107</v>
      </c>
      <c r="F130" s="628" t="s">
        <v>123</v>
      </c>
      <c r="G130" s="775" t="s">
        <v>332</v>
      </c>
      <c r="H130" s="577"/>
      <c r="I130" s="577">
        <v>7310</v>
      </c>
      <c r="J130" s="577">
        <v>7310</v>
      </c>
      <c r="K130" s="576">
        <f t="shared" si="47"/>
        <v>0</v>
      </c>
      <c r="L130" s="587">
        <v>7310</v>
      </c>
      <c r="M130" s="587"/>
      <c r="N130" s="619">
        <v>6803</v>
      </c>
      <c r="O130" s="618">
        <f t="shared" si="48"/>
        <v>-507</v>
      </c>
      <c r="P130" s="587">
        <v>6273</v>
      </c>
      <c r="Q130" s="631"/>
      <c r="R130" s="587">
        <v>5712</v>
      </c>
      <c r="S130" s="640"/>
      <c r="T130" s="1498">
        <f t="shared" si="46"/>
        <v>6803</v>
      </c>
      <c r="V130" s="630">
        <f t="shared" si="25"/>
      </c>
    </row>
    <row r="131" spans="1:22" s="617" customFormat="1" ht="27.75" customHeight="1">
      <c r="A131" s="761">
        <v>4</v>
      </c>
      <c r="B131" s="762">
        <v>2</v>
      </c>
      <c r="C131" s="762">
        <v>1</v>
      </c>
      <c r="D131" s="1101">
        <v>520</v>
      </c>
      <c r="E131" s="666">
        <v>103</v>
      </c>
      <c r="F131" s="741" t="s">
        <v>106</v>
      </c>
      <c r="G131" s="760" t="s">
        <v>491</v>
      </c>
      <c r="H131" s="576">
        <v>23804.87</v>
      </c>
      <c r="I131" s="576">
        <v>28000</v>
      </c>
      <c r="J131" s="576">
        <v>49000</v>
      </c>
      <c r="K131" s="576">
        <f t="shared" si="47"/>
        <v>3849.5999999999985</v>
      </c>
      <c r="L131" s="576">
        <v>52849.6</v>
      </c>
      <c r="M131" s="1162">
        <v>2100</v>
      </c>
      <c r="N131" s="618">
        <v>55000</v>
      </c>
      <c r="O131" s="618">
        <f t="shared" si="48"/>
        <v>27000</v>
      </c>
      <c r="P131" s="575">
        <v>55000</v>
      </c>
      <c r="Q131" s="575"/>
      <c r="R131" s="575">
        <v>55000</v>
      </c>
      <c r="S131" s="621"/>
      <c r="T131" s="1498">
        <f t="shared" si="46"/>
        <v>78804.87</v>
      </c>
      <c r="V131" s="630">
        <f t="shared" si="25"/>
      </c>
    </row>
    <row r="132" spans="1:22" s="617" customFormat="1" ht="27.75" customHeight="1">
      <c r="A132" s="761">
        <v>4</v>
      </c>
      <c r="B132" s="762">
        <v>2</v>
      </c>
      <c r="C132" s="762">
        <v>1</v>
      </c>
      <c r="D132" s="1101">
        <v>526</v>
      </c>
      <c r="E132" s="666">
        <v>104</v>
      </c>
      <c r="F132" s="741" t="s">
        <v>105</v>
      </c>
      <c r="G132" s="760" t="s">
        <v>492</v>
      </c>
      <c r="H132" s="576">
        <v>11000.96</v>
      </c>
      <c r="I132" s="576">
        <v>14000</v>
      </c>
      <c r="J132" s="576">
        <v>10723.67</v>
      </c>
      <c r="K132" s="576">
        <f t="shared" si="47"/>
        <v>3276.33</v>
      </c>
      <c r="L132" s="576">
        <v>14000</v>
      </c>
      <c r="M132" s="576"/>
      <c r="N132" s="618">
        <v>11500</v>
      </c>
      <c r="O132" s="618">
        <f t="shared" si="48"/>
        <v>-2500</v>
      </c>
      <c r="P132" s="576">
        <v>11500</v>
      </c>
      <c r="Q132" s="576"/>
      <c r="R132" s="576">
        <v>11500</v>
      </c>
      <c r="S132" s="621"/>
      <c r="T132" s="1493">
        <f t="shared" si="46"/>
        <v>22500.96</v>
      </c>
      <c r="V132" s="630">
        <f t="shared" si="25"/>
      </c>
    </row>
    <row r="133" spans="1:22" s="617" customFormat="1" ht="27.75" customHeight="1">
      <c r="A133" s="761">
        <v>4</v>
      </c>
      <c r="B133" s="762">
        <v>2</v>
      </c>
      <c r="C133" s="762">
        <v>1</v>
      </c>
      <c r="D133" s="1101">
        <v>527</v>
      </c>
      <c r="E133" s="666">
        <v>104</v>
      </c>
      <c r="F133" s="741" t="s">
        <v>874</v>
      </c>
      <c r="G133" s="765" t="s">
        <v>582</v>
      </c>
      <c r="H133" s="576"/>
      <c r="I133" s="576">
        <v>1500</v>
      </c>
      <c r="J133" s="576">
        <v>1250</v>
      </c>
      <c r="K133" s="576">
        <f t="shared" si="47"/>
        <v>250</v>
      </c>
      <c r="L133" s="576">
        <v>1500</v>
      </c>
      <c r="M133" s="576"/>
      <c r="N133" s="618">
        <v>2000</v>
      </c>
      <c r="O133" s="618">
        <f t="shared" si="48"/>
        <v>500</v>
      </c>
      <c r="P133" s="576">
        <v>2000</v>
      </c>
      <c r="Q133" s="738"/>
      <c r="R133" s="576">
        <v>2000</v>
      </c>
      <c r="S133" s="621"/>
      <c r="T133" s="1498">
        <f t="shared" si="46"/>
        <v>2000</v>
      </c>
      <c r="V133" s="630">
        <f t="shared" si="25"/>
      </c>
    </row>
    <row r="134" spans="1:22" s="617" customFormat="1" ht="27.75" customHeight="1">
      <c r="A134" s="761">
        <v>4</v>
      </c>
      <c r="B134" s="762">
        <v>2</v>
      </c>
      <c r="C134" s="762">
        <v>1</v>
      </c>
      <c r="D134" s="1101">
        <v>528</v>
      </c>
      <c r="E134" s="666">
        <v>104</v>
      </c>
      <c r="F134" s="741" t="s">
        <v>487</v>
      </c>
      <c r="G134" s="765" t="s">
        <v>1141</v>
      </c>
      <c r="H134" s="576"/>
      <c r="I134" s="576">
        <v>5000</v>
      </c>
      <c r="J134" s="576">
        <v>1790.12</v>
      </c>
      <c r="K134" s="576">
        <f t="shared" si="47"/>
        <v>3209.88</v>
      </c>
      <c r="L134" s="576">
        <v>5000</v>
      </c>
      <c r="M134" s="576"/>
      <c r="N134" s="618">
        <f>ENTRATA!K48</f>
        <v>5000</v>
      </c>
      <c r="O134" s="618">
        <f t="shared" si="48"/>
        <v>0</v>
      </c>
      <c r="P134" s="618">
        <f>ENTRATA!M48</f>
        <v>5000</v>
      </c>
      <c r="Q134" s="618"/>
      <c r="R134" s="618">
        <f>ENTRATA!N48</f>
        <v>5000</v>
      </c>
      <c r="S134" s="621"/>
      <c r="T134" s="1493">
        <f t="shared" si="46"/>
        <v>5000</v>
      </c>
      <c r="V134" s="630">
        <f t="shared" si="25"/>
      </c>
    </row>
    <row r="135" spans="1:22" s="617" customFormat="1" ht="27.75" customHeight="1">
      <c r="A135" s="761">
        <v>4</v>
      </c>
      <c r="B135" s="762">
        <v>2</v>
      </c>
      <c r="C135" s="762">
        <v>1</v>
      </c>
      <c r="D135" s="1101">
        <v>530</v>
      </c>
      <c r="E135" s="666">
        <v>104</v>
      </c>
      <c r="F135" s="741" t="s">
        <v>487</v>
      </c>
      <c r="G135" s="765" t="s">
        <v>1142</v>
      </c>
      <c r="H135" s="576"/>
      <c r="I135" s="576">
        <v>8000</v>
      </c>
      <c r="J135" s="576">
        <v>0</v>
      </c>
      <c r="K135" s="576">
        <f t="shared" si="47"/>
        <v>8000</v>
      </c>
      <c r="L135" s="576">
        <v>8000</v>
      </c>
      <c r="M135" s="576"/>
      <c r="N135" s="618">
        <f>ENTRATA!K47</f>
        <v>8000</v>
      </c>
      <c r="O135" s="618">
        <f t="shared" si="48"/>
        <v>0</v>
      </c>
      <c r="P135" s="618">
        <f>ENTRATA!M47</f>
        <v>8000</v>
      </c>
      <c r="Q135" s="618"/>
      <c r="R135" s="618">
        <f>ENTRATA!N47</f>
        <v>8000</v>
      </c>
      <c r="S135" s="621"/>
      <c r="T135" s="1493">
        <f t="shared" si="46"/>
        <v>8000</v>
      </c>
      <c r="V135" s="630">
        <f t="shared" si="25"/>
      </c>
    </row>
    <row r="136" spans="1:22" s="617" customFormat="1" ht="27.75" customHeight="1">
      <c r="A136" s="761">
        <v>4</v>
      </c>
      <c r="B136" s="762">
        <v>2</v>
      </c>
      <c r="C136" s="762">
        <v>1</v>
      </c>
      <c r="D136" s="1101">
        <v>560</v>
      </c>
      <c r="E136" s="666">
        <v>103</v>
      </c>
      <c r="F136" s="741" t="s">
        <v>432</v>
      </c>
      <c r="G136" s="760" t="s">
        <v>0</v>
      </c>
      <c r="H136" s="576">
        <v>9284.55</v>
      </c>
      <c r="I136" s="576">
        <v>13000</v>
      </c>
      <c r="J136" s="576">
        <v>10250</v>
      </c>
      <c r="K136" s="576">
        <f t="shared" si="47"/>
        <v>0</v>
      </c>
      <c r="L136" s="576">
        <v>10250</v>
      </c>
      <c r="M136" s="576">
        <v>3900</v>
      </c>
      <c r="N136" s="618">
        <v>10000</v>
      </c>
      <c r="O136" s="618">
        <f>N136-I136</f>
        <v>-3000</v>
      </c>
      <c r="P136" s="576">
        <v>10000</v>
      </c>
      <c r="Q136" s="618"/>
      <c r="R136" s="576">
        <v>10000</v>
      </c>
      <c r="S136" s="621"/>
      <c r="T136" s="1498">
        <f t="shared" si="46"/>
        <v>19284.55</v>
      </c>
      <c r="V136" s="630">
        <f aca="true" t="shared" si="49" ref="V136:V199">IF(T136&gt;(H136+N136),"ERRORE","")</f>
      </c>
    </row>
    <row r="137" spans="1:22" s="617" customFormat="1" ht="25.5" customHeight="1">
      <c r="A137" s="761">
        <v>4</v>
      </c>
      <c r="B137" s="762">
        <v>2</v>
      </c>
      <c r="C137" s="762">
        <v>1</v>
      </c>
      <c r="D137" s="1101">
        <v>887</v>
      </c>
      <c r="E137" s="666">
        <v>104</v>
      </c>
      <c r="F137" s="741" t="s">
        <v>487</v>
      </c>
      <c r="G137" s="765" t="s">
        <v>1147</v>
      </c>
      <c r="H137" s="576"/>
      <c r="I137" s="576"/>
      <c r="J137" s="576">
        <v>2535</v>
      </c>
      <c r="K137" s="576">
        <f t="shared" si="47"/>
        <v>1065</v>
      </c>
      <c r="L137" s="576">
        <v>3600</v>
      </c>
      <c r="M137" s="576"/>
      <c r="N137" s="618">
        <v>6000</v>
      </c>
      <c r="O137" s="618">
        <f t="shared" si="48"/>
        <v>6000</v>
      </c>
      <c r="P137" s="576">
        <v>6000</v>
      </c>
      <c r="Q137" s="618"/>
      <c r="R137" s="576">
        <v>6000</v>
      </c>
      <c r="S137" s="621"/>
      <c r="T137" s="1498">
        <f>H137+N137</f>
        <v>6000</v>
      </c>
      <c r="V137" s="630">
        <f t="shared" si="49"/>
      </c>
    </row>
    <row r="138" spans="1:22" s="686" customFormat="1" ht="21" customHeight="1">
      <c r="A138" s="1276" t="s">
        <v>353</v>
      </c>
      <c r="B138" s="1277"/>
      <c r="C138" s="1277"/>
      <c r="D138" s="1277"/>
      <c r="E138" s="1277"/>
      <c r="F138" s="1277"/>
      <c r="G138" s="1278"/>
      <c r="H138" s="1486">
        <f>SUM(H127:H137)</f>
        <v>75366.62999999999</v>
      </c>
      <c r="I138" s="580">
        <f aca="true" t="shared" si="50" ref="I138:R138">SUM(I127:I137)</f>
        <v>103310</v>
      </c>
      <c r="J138" s="580">
        <f t="shared" si="50"/>
        <v>113954.79</v>
      </c>
      <c r="K138" s="580">
        <f t="shared" si="50"/>
        <v>26554.809999999998</v>
      </c>
      <c r="L138" s="580">
        <f t="shared" si="50"/>
        <v>140509.6</v>
      </c>
      <c r="M138" s="580">
        <f t="shared" si="50"/>
        <v>18200</v>
      </c>
      <c r="N138" s="580">
        <f t="shared" si="50"/>
        <v>141303</v>
      </c>
      <c r="O138" s="580">
        <f t="shared" si="50"/>
        <v>37993</v>
      </c>
      <c r="P138" s="580">
        <f t="shared" si="50"/>
        <v>140773</v>
      </c>
      <c r="Q138" s="580">
        <f t="shared" si="50"/>
        <v>0</v>
      </c>
      <c r="R138" s="580">
        <f t="shared" si="50"/>
        <v>140212</v>
      </c>
      <c r="S138" s="612">
        <f>SUM(S127:S136)</f>
        <v>0</v>
      </c>
      <c r="T138" s="613">
        <f>SUM(T127:T137)</f>
        <v>216669.62999999998</v>
      </c>
      <c r="V138" s="630">
        <f t="shared" si="49"/>
      </c>
    </row>
    <row r="139" spans="1:22" s="617" customFormat="1" ht="27.75" customHeight="1">
      <c r="A139" s="756">
        <v>4</v>
      </c>
      <c r="B139" s="758">
        <v>6</v>
      </c>
      <c r="C139" s="757">
        <v>1</v>
      </c>
      <c r="D139" s="1105">
        <v>506</v>
      </c>
      <c r="E139" s="776">
        <v>103</v>
      </c>
      <c r="F139" s="740" t="s">
        <v>102</v>
      </c>
      <c r="G139" s="759" t="s">
        <v>1</v>
      </c>
      <c r="H139" s="579">
        <v>1720</v>
      </c>
      <c r="I139" s="579">
        <v>2000</v>
      </c>
      <c r="J139" s="579">
        <v>2000</v>
      </c>
      <c r="K139" s="579">
        <f>L139-J139</f>
        <v>600</v>
      </c>
      <c r="L139" s="574">
        <v>2600</v>
      </c>
      <c r="M139" s="574"/>
      <c r="N139" s="579">
        <v>2000</v>
      </c>
      <c r="O139" s="738">
        <f>N139-I139</f>
        <v>0</v>
      </c>
      <c r="P139" s="738">
        <v>2000</v>
      </c>
      <c r="Q139" s="623"/>
      <c r="R139" s="579">
        <v>2000</v>
      </c>
      <c r="S139" s="624"/>
      <c r="T139" s="1494">
        <f>H139+N139</f>
        <v>3720</v>
      </c>
      <c r="V139" s="630">
        <f t="shared" si="49"/>
      </c>
    </row>
    <row r="140" spans="1:22" s="617" customFormat="1" ht="27.75" customHeight="1">
      <c r="A140" s="761">
        <v>4</v>
      </c>
      <c r="B140" s="764">
        <v>6</v>
      </c>
      <c r="C140" s="762">
        <v>1</v>
      </c>
      <c r="D140" s="1101">
        <v>550</v>
      </c>
      <c r="E140" s="666">
        <v>103</v>
      </c>
      <c r="F140" s="741" t="s">
        <v>107</v>
      </c>
      <c r="G140" s="760" t="s">
        <v>167</v>
      </c>
      <c r="H140" s="576">
        <v>4602.72</v>
      </c>
      <c r="I140" s="576">
        <v>43000</v>
      </c>
      <c r="J140" s="576">
        <v>15000</v>
      </c>
      <c r="K140" s="576">
        <f>L140-J140</f>
        <v>1449.2999999999993</v>
      </c>
      <c r="L140" s="576">
        <v>16449.3</v>
      </c>
      <c r="M140" s="1162">
        <v>4674.21</v>
      </c>
      <c r="N140" s="576">
        <v>30000</v>
      </c>
      <c r="O140" s="618">
        <f>N140-I140</f>
        <v>-13000</v>
      </c>
      <c r="P140" s="618">
        <v>30000</v>
      </c>
      <c r="Q140" s="618"/>
      <c r="R140" s="576">
        <v>30000</v>
      </c>
      <c r="S140" s="621"/>
      <c r="T140" s="1498">
        <f>H140+N140</f>
        <v>34602.72</v>
      </c>
      <c r="V140" s="630">
        <f t="shared" si="49"/>
      </c>
    </row>
    <row r="141" spans="1:22" s="686" customFormat="1" ht="21" customHeight="1" thickBot="1">
      <c r="A141" s="1276" t="s">
        <v>354</v>
      </c>
      <c r="B141" s="1277"/>
      <c r="C141" s="1277"/>
      <c r="D141" s="1277"/>
      <c r="E141" s="1277"/>
      <c r="F141" s="1277"/>
      <c r="G141" s="1278"/>
      <c r="H141" s="1486">
        <f aca="true" t="shared" si="51" ref="H141:T141">SUM(H139:H140)</f>
        <v>6322.72</v>
      </c>
      <c r="I141" s="580">
        <f t="shared" si="51"/>
        <v>45000</v>
      </c>
      <c r="J141" s="580">
        <f t="shared" si="51"/>
        <v>17000</v>
      </c>
      <c r="K141" s="580">
        <f t="shared" si="51"/>
        <v>2049.2999999999993</v>
      </c>
      <c r="L141" s="580">
        <f t="shared" si="51"/>
        <v>19049.3</v>
      </c>
      <c r="M141" s="580">
        <f t="shared" si="51"/>
        <v>4674.21</v>
      </c>
      <c r="N141" s="580">
        <f t="shared" si="51"/>
        <v>32000</v>
      </c>
      <c r="O141" s="580">
        <f t="shared" si="51"/>
        <v>-13000</v>
      </c>
      <c r="P141" s="580">
        <f t="shared" si="51"/>
        <v>32000</v>
      </c>
      <c r="Q141" s="580">
        <f t="shared" si="51"/>
        <v>0</v>
      </c>
      <c r="R141" s="580">
        <f t="shared" si="51"/>
        <v>32000</v>
      </c>
      <c r="S141" s="772">
        <f t="shared" si="51"/>
        <v>0</v>
      </c>
      <c r="T141" s="673">
        <f t="shared" si="51"/>
        <v>38322.72</v>
      </c>
      <c r="V141" s="630">
        <f t="shared" si="49"/>
      </c>
    </row>
    <row r="142" spans="1:26" s="686" customFormat="1" ht="21" customHeight="1" thickBot="1">
      <c r="A142" s="1262" t="s">
        <v>44</v>
      </c>
      <c r="B142" s="1263"/>
      <c r="C142" s="1263"/>
      <c r="D142" s="1263"/>
      <c r="E142" s="1263"/>
      <c r="F142" s="1263"/>
      <c r="G142" s="1264"/>
      <c r="H142" s="1489">
        <f aca="true" t="shared" si="52" ref="H142:T142">H126+H138+H141</f>
        <v>105853.34999999999</v>
      </c>
      <c r="I142" s="586">
        <f t="shared" si="52"/>
        <v>188310</v>
      </c>
      <c r="J142" s="586">
        <f t="shared" si="52"/>
        <v>167771.57</v>
      </c>
      <c r="K142" s="586">
        <f t="shared" si="52"/>
        <v>42935.89</v>
      </c>
      <c r="L142" s="586">
        <f t="shared" si="52"/>
        <v>210707.46</v>
      </c>
      <c r="M142" s="586">
        <f t="shared" si="52"/>
        <v>42874.21</v>
      </c>
      <c r="N142" s="586">
        <f t="shared" si="52"/>
        <v>227451</v>
      </c>
      <c r="O142" s="586">
        <f t="shared" si="52"/>
        <v>26141</v>
      </c>
      <c r="P142" s="586">
        <f t="shared" si="52"/>
        <v>226921</v>
      </c>
      <c r="Q142" s="586">
        <f t="shared" si="52"/>
        <v>0</v>
      </c>
      <c r="R142" s="586">
        <f t="shared" si="52"/>
        <v>226360</v>
      </c>
      <c r="S142" s="586">
        <f t="shared" si="52"/>
        <v>0</v>
      </c>
      <c r="T142" s="586">
        <f t="shared" si="52"/>
        <v>333304.35</v>
      </c>
      <c r="V142" s="630">
        <f t="shared" si="49"/>
      </c>
      <c r="X142" s="687"/>
      <c r="Z142" s="687"/>
    </row>
    <row r="143" spans="1:22" s="686" customFormat="1" ht="21" customHeight="1" thickBot="1">
      <c r="A143" s="1262" t="s">
        <v>46</v>
      </c>
      <c r="B143" s="1263"/>
      <c r="C143" s="1263"/>
      <c r="D143" s="1263"/>
      <c r="E143" s="1263"/>
      <c r="F143" s="1263"/>
      <c r="G143" s="1264"/>
      <c r="H143" s="1279"/>
      <c r="I143" s="1280"/>
      <c r="J143" s="1280"/>
      <c r="K143" s="1280"/>
      <c r="L143" s="1280"/>
      <c r="M143" s="1280"/>
      <c r="N143" s="1280"/>
      <c r="O143" s="1280"/>
      <c r="P143" s="1280"/>
      <c r="Q143" s="1280"/>
      <c r="R143" s="1280"/>
      <c r="S143" s="1280"/>
      <c r="T143" s="1280"/>
      <c r="V143" s="630">
        <f t="shared" si="49"/>
      </c>
    </row>
    <row r="144" spans="1:22" s="617" customFormat="1" ht="27.75" customHeight="1">
      <c r="A144" s="756">
        <v>5</v>
      </c>
      <c r="B144" s="758">
        <v>2</v>
      </c>
      <c r="C144" s="757">
        <v>1</v>
      </c>
      <c r="D144" s="1105">
        <v>600</v>
      </c>
      <c r="E144" s="776">
        <v>103</v>
      </c>
      <c r="F144" s="741" t="s">
        <v>98</v>
      </c>
      <c r="G144" s="759" t="s">
        <v>252</v>
      </c>
      <c r="H144" s="579">
        <v>1187.07</v>
      </c>
      <c r="I144" s="579">
        <v>7000</v>
      </c>
      <c r="J144" s="579">
        <v>6564.12</v>
      </c>
      <c r="K144" s="579">
        <f>L144-J144</f>
        <v>435.8800000000001</v>
      </c>
      <c r="L144" s="574">
        <v>7000</v>
      </c>
      <c r="M144" s="579"/>
      <c r="N144" s="579">
        <v>7000</v>
      </c>
      <c r="O144" s="738">
        <f>N144-I144</f>
        <v>0</v>
      </c>
      <c r="P144" s="738">
        <v>7000</v>
      </c>
      <c r="Q144" s="576"/>
      <c r="R144" s="579">
        <v>7000</v>
      </c>
      <c r="S144" s="624"/>
      <c r="T144" s="1497">
        <f aca="true" t="shared" si="53" ref="T144:T152">H144+N144</f>
        <v>8187.07</v>
      </c>
      <c r="V144" s="630">
        <f t="shared" si="49"/>
      </c>
    </row>
    <row r="145" spans="1:22" s="617" customFormat="1" ht="27.75" customHeight="1">
      <c r="A145" s="756">
        <v>5</v>
      </c>
      <c r="B145" s="758">
        <v>2</v>
      </c>
      <c r="C145" s="757">
        <v>1</v>
      </c>
      <c r="D145" s="1105">
        <v>601</v>
      </c>
      <c r="E145" s="776">
        <v>103</v>
      </c>
      <c r="F145" s="740" t="s">
        <v>109</v>
      </c>
      <c r="G145" s="787" t="s">
        <v>837</v>
      </c>
      <c r="H145" s="579"/>
      <c r="I145" s="579"/>
      <c r="J145" s="579"/>
      <c r="K145" s="579"/>
      <c r="L145" s="574"/>
      <c r="M145" s="579"/>
      <c r="N145" s="579"/>
      <c r="O145" s="738"/>
      <c r="P145" s="738"/>
      <c r="Q145" s="576"/>
      <c r="R145" s="579"/>
      <c r="S145" s="624"/>
      <c r="T145" s="625">
        <f t="shared" si="53"/>
        <v>0</v>
      </c>
      <c r="V145" s="630">
        <f t="shared" si="49"/>
      </c>
    </row>
    <row r="146" spans="1:22" s="617" customFormat="1" ht="27.75" customHeight="1">
      <c r="A146" s="756">
        <v>5</v>
      </c>
      <c r="B146" s="758">
        <v>2</v>
      </c>
      <c r="C146" s="757">
        <v>1</v>
      </c>
      <c r="D146" s="1105">
        <v>605</v>
      </c>
      <c r="E146" s="776">
        <v>103</v>
      </c>
      <c r="F146" s="740" t="s">
        <v>109</v>
      </c>
      <c r="G146" s="759" t="s">
        <v>253</v>
      </c>
      <c r="H146" s="579">
        <v>8223.69</v>
      </c>
      <c r="I146" s="579">
        <v>20000</v>
      </c>
      <c r="J146" s="579">
        <v>20414.78</v>
      </c>
      <c r="K146" s="579">
        <f>L146-J146</f>
        <v>756.2200000000012</v>
      </c>
      <c r="L146" s="574">
        <v>21171</v>
      </c>
      <c r="M146" s="579"/>
      <c r="N146" s="579">
        <v>19000</v>
      </c>
      <c r="O146" s="738">
        <f>N146-I146</f>
        <v>-1000</v>
      </c>
      <c r="P146" s="738">
        <v>19000</v>
      </c>
      <c r="Q146" s="576"/>
      <c r="R146" s="579">
        <v>19000</v>
      </c>
      <c r="S146" s="624"/>
      <c r="T146" s="1494">
        <f t="shared" si="53"/>
        <v>27223.690000000002</v>
      </c>
      <c r="V146" s="630">
        <f t="shared" si="49"/>
      </c>
    </row>
    <row r="147" spans="1:22" s="617" customFormat="1" ht="27.75" customHeight="1">
      <c r="A147" s="756">
        <v>5</v>
      </c>
      <c r="B147" s="758">
        <v>2</v>
      </c>
      <c r="C147" s="757">
        <v>1</v>
      </c>
      <c r="D147" s="1105" t="s">
        <v>641</v>
      </c>
      <c r="E147" s="776">
        <v>103</v>
      </c>
      <c r="F147" s="740" t="s">
        <v>875</v>
      </c>
      <c r="G147" s="787" t="s">
        <v>642</v>
      </c>
      <c r="H147" s="579">
        <v>8527.5</v>
      </c>
      <c r="I147" s="579">
        <v>24220</v>
      </c>
      <c r="J147" s="579">
        <v>24220</v>
      </c>
      <c r="K147" s="579">
        <f aca="true" t="shared" si="54" ref="K147:K152">L147-J147</f>
        <v>0</v>
      </c>
      <c r="L147" s="574">
        <v>24220</v>
      </c>
      <c r="M147" s="579"/>
      <c r="N147" s="579">
        <v>24220</v>
      </c>
      <c r="O147" s="738">
        <f aca="true" t="shared" si="55" ref="O147:O152">N147-I147</f>
        <v>0</v>
      </c>
      <c r="P147" s="738">
        <v>24220</v>
      </c>
      <c r="Q147" s="576"/>
      <c r="R147" s="579">
        <v>24220</v>
      </c>
      <c r="S147" s="624"/>
      <c r="T147" s="1497">
        <f t="shared" si="53"/>
        <v>32747.5</v>
      </c>
      <c r="V147" s="630">
        <f t="shared" si="49"/>
      </c>
    </row>
    <row r="148" spans="1:22" s="617" customFormat="1" ht="27.75" customHeight="1">
      <c r="A148" s="756">
        <v>5</v>
      </c>
      <c r="B148" s="758">
        <v>2</v>
      </c>
      <c r="C148" s="757">
        <v>1</v>
      </c>
      <c r="D148" s="1105">
        <v>607</v>
      </c>
      <c r="E148" s="776">
        <v>103</v>
      </c>
      <c r="F148" s="740" t="s">
        <v>875</v>
      </c>
      <c r="G148" s="787" t="s">
        <v>1046</v>
      </c>
      <c r="H148" s="579">
        <v>6502.6</v>
      </c>
      <c r="I148" s="579"/>
      <c r="J148" s="579">
        <v>6502.6</v>
      </c>
      <c r="K148" s="579">
        <f t="shared" si="54"/>
        <v>192.39999999999964</v>
      </c>
      <c r="L148" s="574">
        <v>6695</v>
      </c>
      <c r="M148" s="579"/>
      <c r="N148" s="579"/>
      <c r="O148" s="738">
        <f t="shared" si="55"/>
        <v>0</v>
      </c>
      <c r="P148" s="738"/>
      <c r="Q148" s="576"/>
      <c r="R148" s="579"/>
      <c r="S148" s="624"/>
      <c r="T148" s="1497">
        <f t="shared" si="53"/>
        <v>6502.6</v>
      </c>
      <c r="V148" s="630">
        <f t="shared" si="49"/>
      </c>
    </row>
    <row r="149" spans="1:22" s="617" customFormat="1" ht="27.75" customHeight="1">
      <c r="A149" s="761">
        <v>5</v>
      </c>
      <c r="B149" s="764">
        <v>2</v>
      </c>
      <c r="C149" s="762">
        <v>1</v>
      </c>
      <c r="D149" s="1101">
        <v>610</v>
      </c>
      <c r="E149" s="666">
        <v>103</v>
      </c>
      <c r="F149" s="741" t="s">
        <v>824</v>
      </c>
      <c r="G149" s="767" t="s">
        <v>583</v>
      </c>
      <c r="H149" s="576">
        <v>2754.83</v>
      </c>
      <c r="I149" s="576"/>
      <c r="J149" s="576"/>
      <c r="K149" s="579">
        <f t="shared" si="54"/>
        <v>0</v>
      </c>
      <c r="L149" s="576"/>
      <c r="M149" s="576"/>
      <c r="N149" s="575"/>
      <c r="O149" s="738">
        <f t="shared" si="55"/>
        <v>0</v>
      </c>
      <c r="P149" s="636"/>
      <c r="Q149" s="575"/>
      <c r="R149" s="575"/>
      <c r="S149" s="621"/>
      <c r="T149" s="1497">
        <f t="shared" si="53"/>
        <v>2754.83</v>
      </c>
      <c r="V149" s="630">
        <f t="shared" si="49"/>
      </c>
    </row>
    <row r="150" spans="1:22" s="617" customFormat="1" ht="27.75" customHeight="1">
      <c r="A150" s="761">
        <v>5</v>
      </c>
      <c r="B150" s="764">
        <v>2</v>
      </c>
      <c r="C150" s="762">
        <v>1</v>
      </c>
      <c r="D150" s="1101">
        <v>615</v>
      </c>
      <c r="E150" s="666">
        <v>103</v>
      </c>
      <c r="F150" s="741" t="s">
        <v>875</v>
      </c>
      <c r="G150" s="765" t="s">
        <v>979</v>
      </c>
      <c r="H150" s="576">
        <v>520.8</v>
      </c>
      <c r="I150" s="576">
        <v>6000</v>
      </c>
      <c r="J150" s="576">
        <v>5274.44</v>
      </c>
      <c r="K150" s="579">
        <f t="shared" si="54"/>
        <v>725.5600000000004</v>
      </c>
      <c r="L150" s="576">
        <v>6000</v>
      </c>
      <c r="M150" s="576"/>
      <c r="N150" s="575">
        <v>5000</v>
      </c>
      <c r="O150" s="738">
        <f t="shared" si="55"/>
        <v>-1000</v>
      </c>
      <c r="P150" s="636">
        <v>5000</v>
      </c>
      <c r="Q150" s="575"/>
      <c r="R150" s="575">
        <v>5000</v>
      </c>
      <c r="S150" s="747"/>
      <c r="T150" s="1497">
        <f t="shared" si="53"/>
        <v>5520.8</v>
      </c>
      <c r="V150" s="630">
        <f t="shared" si="49"/>
      </c>
    </row>
    <row r="151" spans="1:22" s="617" customFormat="1" ht="27" customHeight="1">
      <c r="A151" s="761">
        <v>5</v>
      </c>
      <c r="B151" s="764">
        <v>2</v>
      </c>
      <c r="C151" s="762">
        <v>1</v>
      </c>
      <c r="D151" s="1101">
        <v>618</v>
      </c>
      <c r="E151" s="666">
        <v>103</v>
      </c>
      <c r="F151" s="741" t="s">
        <v>875</v>
      </c>
      <c r="G151" s="765" t="s">
        <v>977</v>
      </c>
      <c r="H151" s="576">
        <v>3970.9</v>
      </c>
      <c r="I151" s="576">
        <v>4000</v>
      </c>
      <c r="J151" s="576">
        <v>3970.9</v>
      </c>
      <c r="K151" s="579">
        <f t="shared" si="54"/>
        <v>29.09999999999991</v>
      </c>
      <c r="L151" s="576">
        <v>4000</v>
      </c>
      <c r="M151" s="576"/>
      <c r="N151" s="575">
        <v>4000</v>
      </c>
      <c r="O151" s="738">
        <f t="shared" si="55"/>
        <v>0</v>
      </c>
      <c r="P151" s="636">
        <v>4000</v>
      </c>
      <c r="Q151" s="575"/>
      <c r="R151" s="575">
        <v>4000</v>
      </c>
      <c r="S151" s="747"/>
      <c r="T151" s="1497">
        <f t="shared" si="53"/>
        <v>7970.9</v>
      </c>
      <c r="V151" s="630">
        <f t="shared" si="49"/>
      </c>
    </row>
    <row r="152" spans="1:22" s="617" customFormat="1" ht="27.75" customHeight="1">
      <c r="A152" s="790">
        <v>5</v>
      </c>
      <c r="B152" s="774">
        <v>2</v>
      </c>
      <c r="C152" s="769">
        <v>1</v>
      </c>
      <c r="D152" s="1108">
        <v>620</v>
      </c>
      <c r="E152" s="1099">
        <v>104</v>
      </c>
      <c r="F152" s="740" t="s">
        <v>99</v>
      </c>
      <c r="G152" s="771" t="s">
        <v>254</v>
      </c>
      <c r="H152" s="588">
        <v>5299.24</v>
      </c>
      <c r="I152" s="588">
        <v>4000</v>
      </c>
      <c r="J152" s="588">
        <v>4570</v>
      </c>
      <c r="K152" s="579">
        <f t="shared" si="54"/>
        <v>2630</v>
      </c>
      <c r="L152" s="588">
        <v>7200</v>
      </c>
      <c r="M152" s="588"/>
      <c r="N152" s="588">
        <v>10000</v>
      </c>
      <c r="O152" s="738">
        <f t="shared" si="55"/>
        <v>6000</v>
      </c>
      <c r="P152" s="739">
        <v>10000</v>
      </c>
      <c r="Q152" s="588"/>
      <c r="R152" s="588">
        <v>10000</v>
      </c>
      <c r="S152" s="747"/>
      <c r="T152" s="1494">
        <f t="shared" si="53"/>
        <v>15299.24</v>
      </c>
      <c r="V152" s="630">
        <f t="shared" si="49"/>
      </c>
    </row>
    <row r="153" spans="1:22" s="617" customFormat="1" ht="22.5" customHeight="1" thickBot="1">
      <c r="A153" s="1281" t="s">
        <v>45</v>
      </c>
      <c r="B153" s="1282"/>
      <c r="C153" s="1282"/>
      <c r="D153" s="1282"/>
      <c r="E153" s="1282"/>
      <c r="F153" s="1282"/>
      <c r="G153" s="1283"/>
      <c r="H153" s="1486">
        <f aca="true" t="shared" si="56" ref="H153:T153">SUM(H144:H152)</f>
        <v>36986.630000000005</v>
      </c>
      <c r="I153" s="580">
        <f t="shared" si="56"/>
        <v>65220</v>
      </c>
      <c r="J153" s="580">
        <f t="shared" si="56"/>
        <v>71516.84</v>
      </c>
      <c r="K153" s="580">
        <f t="shared" si="56"/>
        <v>4769.160000000002</v>
      </c>
      <c r="L153" s="580">
        <f t="shared" si="56"/>
        <v>76286</v>
      </c>
      <c r="M153" s="580">
        <f t="shared" si="56"/>
        <v>0</v>
      </c>
      <c r="N153" s="580">
        <f t="shared" si="56"/>
        <v>69220</v>
      </c>
      <c r="O153" s="580">
        <f t="shared" si="56"/>
        <v>4000</v>
      </c>
      <c r="P153" s="580">
        <f t="shared" si="56"/>
        <v>69220</v>
      </c>
      <c r="Q153" s="612">
        <f t="shared" si="56"/>
        <v>0</v>
      </c>
      <c r="R153" s="612">
        <f t="shared" si="56"/>
        <v>69220</v>
      </c>
      <c r="S153" s="612">
        <f t="shared" si="56"/>
        <v>0</v>
      </c>
      <c r="T153" s="613">
        <f t="shared" si="56"/>
        <v>106206.63000000002</v>
      </c>
      <c r="V153" s="630">
        <f t="shared" si="49"/>
      </c>
    </row>
    <row r="154" spans="1:26" s="686" customFormat="1" ht="21" customHeight="1" thickBot="1">
      <c r="A154" s="1262" t="s">
        <v>47</v>
      </c>
      <c r="B154" s="1263"/>
      <c r="C154" s="1263"/>
      <c r="D154" s="1263"/>
      <c r="E154" s="1263"/>
      <c r="F154" s="1263"/>
      <c r="G154" s="1264"/>
      <c r="H154" s="1489">
        <f>H153</f>
        <v>36986.630000000005</v>
      </c>
      <c r="I154" s="586">
        <f aca="true" t="shared" si="57" ref="I154:O154">I153</f>
        <v>65220</v>
      </c>
      <c r="J154" s="586">
        <f t="shared" si="57"/>
        <v>71516.84</v>
      </c>
      <c r="K154" s="586">
        <f t="shared" si="57"/>
        <v>4769.160000000002</v>
      </c>
      <c r="L154" s="586">
        <f t="shared" si="57"/>
        <v>76286</v>
      </c>
      <c r="M154" s="586">
        <f t="shared" si="57"/>
        <v>0</v>
      </c>
      <c r="N154" s="586">
        <f t="shared" si="57"/>
        <v>69220</v>
      </c>
      <c r="O154" s="586">
        <f t="shared" si="57"/>
        <v>4000</v>
      </c>
      <c r="P154" s="586">
        <f>P153</f>
        <v>69220</v>
      </c>
      <c r="Q154" s="586">
        <f>Q153</f>
        <v>0</v>
      </c>
      <c r="R154" s="586">
        <f>R153</f>
        <v>69220</v>
      </c>
      <c r="S154" s="586">
        <f>S153</f>
        <v>0</v>
      </c>
      <c r="T154" s="586">
        <f>T153</f>
        <v>106206.63000000002</v>
      </c>
      <c r="V154" s="630">
        <f t="shared" si="49"/>
      </c>
      <c r="X154" s="687"/>
      <c r="Z154" s="687"/>
    </row>
    <row r="155" spans="1:22" s="686" customFormat="1" ht="21" customHeight="1" thickBot="1">
      <c r="A155" s="1262" t="s">
        <v>48</v>
      </c>
      <c r="B155" s="1263"/>
      <c r="C155" s="1263"/>
      <c r="D155" s="1263"/>
      <c r="E155" s="1263"/>
      <c r="F155" s="1263"/>
      <c r="G155" s="1264"/>
      <c r="H155" s="1279"/>
      <c r="I155" s="1280"/>
      <c r="J155" s="1280"/>
      <c r="K155" s="1280"/>
      <c r="L155" s="1280"/>
      <c r="M155" s="1280"/>
      <c r="N155" s="1280"/>
      <c r="O155" s="1280"/>
      <c r="P155" s="1280"/>
      <c r="Q155" s="1280"/>
      <c r="R155" s="1280"/>
      <c r="S155" s="1280"/>
      <c r="T155" s="1280"/>
      <c r="V155" s="630">
        <f t="shared" si="49"/>
      </c>
    </row>
    <row r="156" spans="1:22" s="617" customFormat="1" ht="27.75" customHeight="1">
      <c r="A156" s="756">
        <v>6</v>
      </c>
      <c r="B156" s="758">
        <v>1</v>
      </c>
      <c r="C156" s="757">
        <v>1</v>
      </c>
      <c r="D156" s="1105">
        <v>630</v>
      </c>
      <c r="E156" s="776">
        <v>103</v>
      </c>
      <c r="F156" s="740" t="s">
        <v>106</v>
      </c>
      <c r="G156" s="759" t="s">
        <v>255</v>
      </c>
      <c r="H156" s="579">
        <v>23891.53</v>
      </c>
      <c r="I156" s="579">
        <v>30000</v>
      </c>
      <c r="J156" s="579">
        <v>33000</v>
      </c>
      <c r="K156" s="579">
        <f>L156-J156</f>
        <v>2000</v>
      </c>
      <c r="L156" s="574">
        <v>35000</v>
      </c>
      <c r="M156" s="579">
        <v>14500</v>
      </c>
      <c r="N156" s="1067">
        <f>35000-5000</f>
        <v>30000</v>
      </c>
      <c r="O156" s="1067">
        <f>N156-I156</f>
        <v>0</v>
      </c>
      <c r="P156" s="574">
        <v>30000</v>
      </c>
      <c r="Q156" s="633"/>
      <c r="R156" s="574">
        <v>30000</v>
      </c>
      <c r="S156" s="624"/>
      <c r="T156" s="1500">
        <f>H156+N156</f>
        <v>53891.53</v>
      </c>
      <c r="V156" s="630">
        <f t="shared" si="49"/>
      </c>
    </row>
    <row r="157" spans="1:22" s="617" customFormat="1" ht="27.75" customHeight="1">
      <c r="A157" s="790">
        <v>6</v>
      </c>
      <c r="B157" s="766">
        <v>1</v>
      </c>
      <c r="C157" s="627">
        <v>1</v>
      </c>
      <c r="D157" s="1104">
        <v>645</v>
      </c>
      <c r="E157" s="665">
        <v>107</v>
      </c>
      <c r="F157" s="628" t="s">
        <v>123</v>
      </c>
      <c r="G157" s="775" t="s">
        <v>333</v>
      </c>
      <c r="H157" s="577"/>
      <c r="I157" s="577">
        <v>3455</v>
      </c>
      <c r="J157" s="577">
        <v>3455</v>
      </c>
      <c r="K157" s="577">
        <f>L157-J157</f>
        <v>0</v>
      </c>
      <c r="L157" s="577">
        <v>3455</v>
      </c>
      <c r="M157" s="577"/>
      <c r="N157" s="619">
        <v>3167</v>
      </c>
      <c r="O157" s="619">
        <f>N157-I157</f>
        <v>-288</v>
      </c>
      <c r="P157" s="577">
        <v>4770</v>
      </c>
      <c r="Q157" s="576"/>
      <c r="R157" s="577">
        <v>7134</v>
      </c>
      <c r="S157" s="640"/>
      <c r="T157" s="1495">
        <f>H157+N157</f>
        <v>3167</v>
      </c>
      <c r="V157" s="630">
        <f t="shared" si="49"/>
      </c>
    </row>
    <row r="158" spans="1:22" s="617" customFormat="1" ht="27.75" customHeight="1">
      <c r="A158" s="761">
        <v>6</v>
      </c>
      <c r="B158" s="764">
        <v>1</v>
      </c>
      <c r="C158" s="762">
        <v>1</v>
      </c>
      <c r="D158" s="1101">
        <v>650</v>
      </c>
      <c r="E158" s="666">
        <v>104</v>
      </c>
      <c r="F158" s="741" t="s">
        <v>99</v>
      </c>
      <c r="G158" s="765" t="s">
        <v>618</v>
      </c>
      <c r="H158" s="576">
        <v>1977.85</v>
      </c>
      <c r="I158" s="576">
        <v>2000</v>
      </c>
      <c r="J158" s="576">
        <v>1000</v>
      </c>
      <c r="K158" s="577">
        <f>L158-J158</f>
        <v>2000</v>
      </c>
      <c r="L158" s="576">
        <v>3000</v>
      </c>
      <c r="M158" s="576"/>
      <c r="N158" s="636">
        <v>1000</v>
      </c>
      <c r="O158" s="619">
        <f>N158-I158</f>
        <v>-1000</v>
      </c>
      <c r="P158" s="575">
        <v>1000</v>
      </c>
      <c r="Q158" s="1067"/>
      <c r="R158" s="575">
        <v>1000</v>
      </c>
      <c r="S158" s="621"/>
      <c r="T158" s="1495">
        <f>H158+N158</f>
        <v>2977.85</v>
      </c>
      <c r="V158" s="630">
        <f t="shared" si="49"/>
      </c>
    </row>
    <row r="159" spans="1:22" s="686" customFormat="1" ht="25.5" customHeight="1">
      <c r="A159" s="1276" t="s">
        <v>49</v>
      </c>
      <c r="B159" s="1277"/>
      <c r="C159" s="1277"/>
      <c r="D159" s="1277"/>
      <c r="E159" s="1277"/>
      <c r="F159" s="1277"/>
      <c r="G159" s="1278"/>
      <c r="H159" s="1486">
        <f aca="true" t="shared" si="58" ref="H159:T159">SUM(H156:H158)</f>
        <v>25869.379999999997</v>
      </c>
      <c r="I159" s="580">
        <f t="shared" si="58"/>
        <v>35455</v>
      </c>
      <c r="J159" s="580">
        <f t="shared" si="58"/>
        <v>37455</v>
      </c>
      <c r="K159" s="580">
        <f t="shared" si="58"/>
        <v>4000</v>
      </c>
      <c r="L159" s="580">
        <f t="shared" si="58"/>
        <v>41455</v>
      </c>
      <c r="M159" s="580">
        <f t="shared" si="58"/>
        <v>14500</v>
      </c>
      <c r="N159" s="580">
        <f t="shared" si="58"/>
        <v>34167</v>
      </c>
      <c r="O159" s="580">
        <f t="shared" si="58"/>
        <v>-1288</v>
      </c>
      <c r="P159" s="580">
        <f t="shared" si="58"/>
        <v>35770</v>
      </c>
      <c r="Q159" s="580">
        <f t="shared" si="58"/>
        <v>0</v>
      </c>
      <c r="R159" s="580">
        <f t="shared" si="58"/>
        <v>38134</v>
      </c>
      <c r="S159" s="772">
        <f t="shared" si="58"/>
        <v>0</v>
      </c>
      <c r="T159" s="670">
        <f t="shared" si="58"/>
        <v>60036.38</v>
      </c>
      <c r="V159" s="630">
        <f t="shared" si="49"/>
      </c>
    </row>
    <row r="160" spans="1:22" s="617" customFormat="1" ht="27.75" customHeight="1">
      <c r="A160" s="756"/>
      <c r="B160" s="758"/>
      <c r="C160" s="757"/>
      <c r="D160" s="779"/>
      <c r="E160" s="757"/>
      <c r="F160" s="740"/>
      <c r="G160" s="760"/>
      <c r="H160" s="579"/>
      <c r="I160" s="579"/>
      <c r="J160" s="579"/>
      <c r="K160" s="579"/>
      <c r="L160" s="579"/>
      <c r="M160" s="579"/>
      <c r="N160" s="579"/>
      <c r="O160" s="738"/>
      <c r="P160" s="738"/>
      <c r="Q160" s="748"/>
      <c r="R160" s="579"/>
      <c r="S160" s="624"/>
      <c r="T160" s="625"/>
      <c r="V160" s="630">
        <f t="shared" si="49"/>
      </c>
    </row>
    <row r="161" spans="1:22" s="617" customFormat="1" ht="27.75" customHeight="1">
      <c r="A161" s="756"/>
      <c r="B161" s="758"/>
      <c r="C161" s="757"/>
      <c r="D161" s="779"/>
      <c r="E161" s="757"/>
      <c r="F161" s="741"/>
      <c r="G161" s="760"/>
      <c r="H161" s="579"/>
      <c r="I161" s="579"/>
      <c r="J161" s="579"/>
      <c r="K161" s="579"/>
      <c r="L161" s="579"/>
      <c r="M161" s="579"/>
      <c r="N161" s="579"/>
      <c r="O161" s="738"/>
      <c r="P161" s="738"/>
      <c r="Q161" s="576"/>
      <c r="R161" s="579"/>
      <c r="S161" s="624"/>
      <c r="T161" s="625"/>
      <c r="V161" s="630">
        <f t="shared" si="49"/>
      </c>
    </row>
    <row r="162" spans="1:22" s="617" customFormat="1" ht="27.75" customHeight="1">
      <c r="A162" s="756"/>
      <c r="B162" s="758"/>
      <c r="C162" s="757"/>
      <c r="D162" s="779"/>
      <c r="E162" s="757"/>
      <c r="F162" s="741"/>
      <c r="G162" s="760"/>
      <c r="H162" s="579"/>
      <c r="I162" s="579"/>
      <c r="J162" s="579"/>
      <c r="K162" s="579"/>
      <c r="L162" s="579"/>
      <c r="M162" s="579"/>
      <c r="N162" s="579"/>
      <c r="O162" s="738"/>
      <c r="P162" s="738"/>
      <c r="Q162" s="576"/>
      <c r="R162" s="579"/>
      <c r="S162" s="624"/>
      <c r="T162" s="625"/>
      <c r="V162" s="630">
        <f t="shared" si="49"/>
      </c>
    </row>
    <row r="163" spans="1:22" s="617" customFormat="1" ht="27.75" customHeight="1">
      <c r="A163" s="756"/>
      <c r="B163" s="758"/>
      <c r="C163" s="757"/>
      <c r="D163" s="779"/>
      <c r="E163" s="757"/>
      <c r="F163" s="741"/>
      <c r="G163" s="759"/>
      <c r="H163" s="579"/>
      <c r="I163" s="579"/>
      <c r="J163" s="579"/>
      <c r="K163" s="579"/>
      <c r="L163" s="579"/>
      <c r="M163" s="579"/>
      <c r="N163" s="579"/>
      <c r="O163" s="738"/>
      <c r="P163" s="738"/>
      <c r="Q163" s="576"/>
      <c r="R163" s="579"/>
      <c r="S163" s="624"/>
      <c r="T163" s="625"/>
      <c r="V163" s="630">
        <f t="shared" si="49"/>
      </c>
    </row>
    <row r="164" spans="1:22" s="617" customFormat="1" ht="27.75" customHeight="1">
      <c r="A164" s="756"/>
      <c r="B164" s="758"/>
      <c r="C164" s="757"/>
      <c r="D164" s="779"/>
      <c r="E164" s="757"/>
      <c r="F164" s="740"/>
      <c r="G164" s="759"/>
      <c r="H164" s="579"/>
      <c r="I164" s="579"/>
      <c r="J164" s="579"/>
      <c r="K164" s="579"/>
      <c r="L164" s="579"/>
      <c r="M164" s="579"/>
      <c r="N164" s="579"/>
      <c r="O164" s="738"/>
      <c r="P164" s="738"/>
      <c r="Q164" s="576"/>
      <c r="R164" s="579"/>
      <c r="S164" s="624"/>
      <c r="T164" s="625"/>
      <c r="V164" s="630">
        <f t="shared" si="49"/>
      </c>
    </row>
    <row r="165" spans="1:22" s="617" customFormat="1" ht="27.75" customHeight="1">
      <c r="A165" s="790"/>
      <c r="B165" s="774"/>
      <c r="C165" s="769"/>
      <c r="D165" s="795"/>
      <c r="E165" s="769"/>
      <c r="F165" s="741"/>
      <c r="G165" s="771"/>
      <c r="H165" s="588"/>
      <c r="I165" s="588"/>
      <c r="J165" s="588"/>
      <c r="K165" s="588"/>
      <c r="L165" s="588"/>
      <c r="M165" s="588"/>
      <c r="N165" s="588"/>
      <c r="O165" s="739"/>
      <c r="P165" s="739"/>
      <c r="Q165" s="577"/>
      <c r="R165" s="588"/>
      <c r="S165" s="747"/>
      <c r="T165" s="675"/>
      <c r="V165" s="630">
        <f t="shared" si="49"/>
      </c>
    </row>
    <row r="166" spans="1:22" s="686" customFormat="1" ht="27" customHeight="1" thickBot="1">
      <c r="A166" s="1325" t="s">
        <v>50</v>
      </c>
      <c r="B166" s="1282"/>
      <c r="C166" s="1282"/>
      <c r="D166" s="1282"/>
      <c r="E166" s="1282"/>
      <c r="F166" s="1282"/>
      <c r="G166" s="1283"/>
      <c r="H166" s="578">
        <f aca="true" t="shared" si="59" ref="H166:R166">SUM(H160:H165)</f>
        <v>0</v>
      </c>
      <c r="I166" s="578">
        <f t="shared" si="59"/>
        <v>0</v>
      </c>
      <c r="J166" s="578">
        <f t="shared" si="59"/>
        <v>0</v>
      </c>
      <c r="K166" s="578"/>
      <c r="L166" s="578">
        <f t="shared" si="59"/>
        <v>0</v>
      </c>
      <c r="M166" s="578">
        <f t="shared" si="59"/>
        <v>0</v>
      </c>
      <c r="N166" s="578">
        <f t="shared" si="59"/>
        <v>0</v>
      </c>
      <c r="O166" s="578">
        <f t="shared" si="59"/>
        <v>0</v>
      </c>
      <c r="P166" s="578">
        <f t="shared" si="59"/>
        <v>0</v>
      </c>
      <c r="Q166" s="578">
        <f t="shared" si="59"/>
        <v>0</v>
      </c>
      <c r="R166" s="578">
        <f t="shared" si="59"/>
        <v>0</v>
      </c>
      <c r="S166" s="578">
        <f>SUM(S160:S165)</f>
        <v>0</v>
      </c>
      <c r="T166" s="670">
        <f>SUM(T160:T165)</f>
        <v>0</v>
      </c>
      <c r="U166" s="773"/>
      <c r="V166" s="630">
        <f t="shared" si="49"/>
      </c>
    </row>
    <row r="167" spans="1:26" s="686" customFormat="1" ht="21" customHeight="1" thickBot="1">
      <c r="A167" s="1262" t="s">
        <v>51</v>
      </c>
      <c r="B167" s="1263"/>
      <c r="C167" s="1263"/>
      <c r="D167" s="1263"/>
      <c r="E167" s="1263"/>
      <c r="F167" s="1263"/>
      <c r="G167" s="1264"/>
      <c r="H167" s="586">
        <f>H159+H166</f>
        <v>25869.379999999997</v>
      </c>
      <c r="I167" s="586">
        <f aca="true" t="shared" si="60" ref="I167:O167">I159+I166</f>
        <v>35455</v>
      </c>
      <c r="J167" s="586">
        <f t="shared" si="60"/>
        <v>37455</v>
      </c>
      <c r="K167" s="586">
        <f t="shared" si="60"/>
        <v>4000</v>
      </c>
      <c r="L167" s="586">
        <f t="shared" si="60"/>
        <v>41455</v>
      </c>
      <c r="M167" s="586">
        <f t="shared" si="60"/>
        <v>14500</v>
      </c>
      <c r="N167" s="586">
        <f t="shared" si="60"/>
        <v>34167</v>
      </c>
      <c r="O167" s="586">
        <f t="shared" si="60"/>
        <v>-1288</v>
      </c>
      <c r="P167" s="586">
        <f>P159+P166</f>
        <v>35770</v>
      </c>
      <c r="Q167" s="586">
        <f>Q159+Q166</f>
        <v>0</v>
      </c>
      <c r="R167" s="586">
        <f>R159+R166</f>
        <v>38134</v>
      </c>
      <c r="S167" s="586">
        <f>S159+S166</f>
        <v>0</v>
      </c>
      <c r="T167" s="586">
        <f>T159+T166</f>
        <v>60036.38</v>
      </c>
      <c r="V167" s="630">
        <f t="shared" si="49"/>
      </c>
      <c r="X167" s="687"/>
      <c r="Z167" s="687"/>
    </row>
    <row r="168" spans="1:22" s="686" customFormat="1" ht="21" customHeight="1" thickBot="1">
      <c r="A168" s="1262" t="s">
        <v>52</v>
      </c>
      <c r="B168" s="1263"/>
      <c r="C168" s="1263"/>
      <c r="D168" s="1263"/>
      <c r="E168" s="1263"/>
      <c r="F168" s="1263"/>
      <c r="G168" s="1264"/>
      <c r="H168" s="1279"/>
      <c r="I168" s="1280"/>
      <c r="J168" s="1280"/>
      <c r="K168" s="1280"/>
      <c r="L168" s="1280"/>
      <c r="M168" s="1280"/>
      <c r="N168" s="1280"/>
      <c r="O168" s="1280"/>
      <c r="P168" s="1280"/>
      <c r="Q168" s="1280"/>
      <c r="R168" s="1280"/>
      <c r="S168" s="1280"/>
      <c r="T168" s="1280"/>
      <c r="V168" s="630">
        <f t="shared" si="49"/>
      </c>
    </row>
    <row r="169" spans="1:22" s="617" customFormat="1" ht="27.75" customHeight="1">
      <c r="A169" s="756">
        <v>8</v>
      </c>
      <c r="B169" s="758">
        <v>1</v>
      </c>
      <c r="C169" s="757">
        <v>1</v>
      </c>
      <c r="D169" s="1105">
        <v>766</v>
      </c>
      <c r="E169" s="776">
        <v>103</v>
      </c>
      <c r="F169" s="740" t="s">
        <v>875</v>
      </c>
      <c r="G169" s="787" t="s">
        <v>677</v>
      </c>
      <c r="H169" s="576">
        <v>1368</v>
      </c>
      <c r="I169" s="576"/>
      <c r="J169" s="576"/>
      <c r="K169" s="576"/>
      <c r="L169" s="576"/>
      <c r="M169" s="576"/>
      <c r="N169" s="576"/>
      <c r="O169" s="618"/>
      <c r="P169" s="618"/>
      <c r="Q169" s="618"/>
      <c r="R169" s="576"/>
      <c r="S169" s="621"/>
      <c r="T169" s="1494">
        <f>H169+N169</f>
        <v>1368</v>
      </c>
      <c r="V169" s="630">
        <f t="shared" si="49"/>
      </c>
    </row>
    <row r="170" spans="1:22" s="617" customFormat="1" ht="27.75" customHeight="1">
      <c r="A170" s="761">
        <v>8</v>
      </c>
      <c r="B170" s="764">
        <v>1</v>
      </c>
      <c r="C170" s="762">
        <v>1</v>
      </c>
      <c r="D170" s="1101">
        <v>767</v>
      </c>
      <c r="E170" s="666">
        <v>103</v>
      </c>
      <c r="F170" s="741" t="s">
        <v>102</v>
      </c>
      <c r="G170" s="760" t="s">
        <v>257</v>
      </c>
      <c r="H170" s="576">
        <v>16021.52</v>
      </c>
      <c r="I170" s="576">
        <v>5000</v>
      </c>
      <c r="J170" s="576">
        <v>7002.5</v>
      </c>
      <c r="K170" s="576">
        <f>L170-J170</f>
        <v>3497.5</v>
      </c>
      <c r="L170" s="576">
        <v>10500</v>
      </c>
      <c r="M170" s="576"/>
      <c r="N170" s="576">
        <v>10000</v>
      </c>
      <c r="O170" s="618">
        <f>N170-I170</f>
        <v>5000</v>
      </c>
      <c r="P170" s="618">
        <v>10000</v>
      </c>
      <c r="Q170" s="618"/>
      <c r="R170" s="576">
        <v>10000</v>
      </c>
      <c r="S170" s="621"/>
      <c r="T170" s="1498">
        <f>H170+N170</f>
        <v>26021.52</v>
      </c>
      <c r="V170" s="630">
        <f t="shared" si="49"/>
      </c>
    </row>
    <row r="171" spans="1:22" s="617" customFormat="1" ht="27.75" customHeight="1">
      <c r="A171" s="756">
        <v>8</v>
      </c>
      <c r="B171" s="758">
        <v>1</v>
      </c>
      <c r="C171" s="757">
        <v>1</v>
      </c>
      <c r="D171" s="1105">
        <v>768</v>
      </c>
      <c r="E171" s="776">
        <v>103</v>
      </c>
      <c r="F171" s="741" t="s">
        <v>875</v>
      </c>
      <c r="G171" s="787" t="s">
        <v>1132</v>
      </c>
      <c r="H171" s="576">
        <v>132.52</v>
      </c>
      <c r="I171" s="576"/>
      <c r="J171" s="576"/>
      <c r="K171" s="576">
        <f>L171-J171</f>
        <v>0</v>
      </c>
      <c r="L171" s="576">
        <v>0</v>
      </c>
      <c r="M171" s="1162">
        <v>4000</v>
      </c>
      <c r="N171" s="576"/>
      <c r="O171" s="576">
        <f>N171-I171</f>
        <v>0</v>
      </c>
      <c r="P171" s="576"/>
      <c r="Q171" s="576"/>
      <c r="R171" s="576"/>
      <c r="S171" s="621"/>
      <c r="T171" s="1498">
        <f>H171+N171</f>
        <v>132.52</v>
      </c>
      <c r="V171" s="630">
        <f t="shared" si="49"/>
      </c>
    </row>
    <row r="172" spans="1:22" s="617" customFormat="1" ht="27.75" customHeight="1">
      <c r="A172" s="756">
        <v>8</v>
      </c>
      <c r="B172" s="758">
        <v>1</v>
      </c>
      <c r="C172" s="757">
        <v>1</v>
      </c>
      <c r="D172" s="1100">
        <v>769</v>
      </c>
      <c r="E172" s="740">
        <v>103</v>
      </c>
      <c r="F172" s="740" t="s">
        <v>102</v>
      </c>
      <c r="G172" s="759" t="s">
        <v>242</v>
      </c>
      <c r="H172" s="576">
        <v>1000</v>
      </c>
      <c r="I172" s="576">
        <v>1000</v>
      </c>
      <c r="J172" s="576">
        <v>0</v>
      </c>
      <c r="K172" s="576">
        <f>L172-J172</f>
        <v>1000</v>
      </c>
      <c r="L172" s="576">
        <v>1000</v>
      </c>
      <c r="M172" s="1162">
        <v>1000</v>
      </c>
      <c r="N172" s="576">
        <v>1000</v>
      </c>
      <c r="O172" s="576">
        <f>N172-I172</f>
        <v>0</v>
      </c>
      <c r="P172" s="618">
        <v>1000</v>
      </c>
      <c r="Q172" s="618"/>
      <c r="R172" s="576">
        <v>1000</v>
      </c>
      <c r="S172" s="621"/>
      <c r="T172" s="1498">
        <f>H172+N172</f>
        <v>2000</v>
      </c>
      <c r="V172" s="630">
        <f t="shared" si="49"/>
      </c>
    </row>
    <row r="173" spans="1:22" s="617" customFormat="1" ht="27.75" customHeight="1">
      <c r="A173" s="1276" t="s">
        <v>53</v>
      </c>
      <c r="B173" s="1277"/>
      <c r="C173" s="1277"/>
      <c r="D173" s="1277"/>
      <c r="E173" s="1277"/>
      <c r="F173" s="1277"/>
      <c r="G173" s="1278"/>
      <c r="H173" s="1486">
        <f aca="true" t="shared" si="61" ref="H173:T173">SUM(H169:H172)</f>
        <v>18522.04</v>
      </c>
      <c r="I173" s="580">
        <f t="shared" si="61"/>
        <v>6000</v>
      </c>
      <c r="J173" s="580">
        <f t="shared" si="61"/>
        <v>7002.5</v>
      </c>
      <c r="K173" s="580">
        <f t="shared" si="61"/>
        <v>4497.5</v>
      </c>
      <c r="L173" s="580">
        <f t="shared" si="61"/>
        <v>11500</v>
      </c>
      <c r="M173" s="580">
        <f t="shared" si="61"/>
        <v>5000</v>
      </c>
      <c r="N173" s="580">
        <f t="shared" si="61"/>
        <v>11000</v>
      </c>
      <c r="O173" s="580">
        <f t="shared" si="61"/>
        <v>5000</v>
      </c>
      <c r="P173" s="580">
        <f t="shared" si="61"/>
        <v>11000</v>
      </c>
      <c r="Q173" s="612">
        <f t="shared" si="61"/>
        <v>0</v>
      </c>
      <c r="R173" s="612">
        <f t="shared" si="61"/>
        <v>11000</v>
      </c>
      <c r="S173" s="612">
        <f t="shared" si="61"/>
        <v>0</v>
      </c>
      <c r="T173" s="613">
        <f t="shared" si="61"/>
        <v>29522.04</v>
      </c>
      <c r="V173" s="630">
        <f t="shared" si="49"/>
      </c>
    </row>
    <row r="174" spans="1:22" s="617" customFormat="1" ht="27.75" customHeight="1">
      <c r="A174" s="756">
        <v>8</v>
      </c>
      <c r="B174" s="758">
        <v>2</v>
      </c>
      <c r="C174" s="757">
        <v>1</v>
      </c>
      <c r="D174" s="1100">
        <v>771</v>
      </c>
      <c r="E174" s="740">
        <v>104</v>
      </c>
      <c r="F174" s="740" t="s">
        <v>113</v>
      </c>
      <c r="G174" s="759" t="s">
        <v>288</v>
      </c>
      <c r="H174" s="579">
        <v>19869.2</v>
      </c>
      <c r="I174" s="579">
        <v>9000</v>
      </c>
      <c r="J174" s="579">
        <v>8224.58</v>
      </c>
      <c r="K174" s="579">
        <f>L174-J174</f>
        <v>775.4200000000001</v>
      </c>
      <c r="L174" s="579">
        <v>9000</v>
      </c>
      <c r="M174" s="1165">
        <v>2685.95</v>
      </c>
      <c r="N174" s="579">
        <v>8500</v>
      </c>
      <c r="O174" s="738">
        <f>N174-I174</f>
        <v>-500</v>
      </c>
      <c r="P174" s="738">
        <v>8500</v>
      </c>
      <c r="Q174" s="589"/>
      <c r="R174" s="579">
        <v>8500</v>
      </c>
      <c r="S174" s="624"/>
      <c r="T174" s="1494">
        <f>H174+N174</f>
        <v>28369.2</v>
      </c>
      <c r="V174" s="630">
        <f t="shared" si="49"/>
      </c>
    </row>
    <row r="175" spans="1:22" s="617" customFormat="1" ht="27.75" customHeight="1">
      <c r="A175" s="756">
        <v>8</v>
      </c>
      <c r="B175" s="758">
        <v>2</v>
      </c>
      <c r="C175" s="757">
        <v>1</v>
      </c>
      <c r="D175" s="1100">
        <v>772</v>
      </c>
      <c r="E175" s="740">
        <v>104</v>
      </c>
      <c r="F175" s="740" t="s">
        <v>870</v>
      </c>
      <c r="G175" s="787" t="s">
        <v>899</v>
      </c>
      <c r="H175" s="579">
        <v>3708</v>
      </c>
      <c r="I175" s="579">
        <v>2000</v>
      </c>
      <c r="J175" s="579">
        <v>1708</v>
      </c>
      <c r="K175" s="579">
        <f>L175-J175</f>
        <v>292</v>
      </c>
      <c r="L175" s="579">
        <v>2000</v>
      </c>
      <c r="M175" s="1165">
        <v>2000</v>
      </c>
      <c r="N175" s="579">
        <v>2000</v>
      </c>
      <c r="O175" s="738">
        <f>N175-I175</f>
        <v>0</v>
      </c>
      <c r="P175" s="738">
        <v>2000</v>
      </c>
      <c r="Q175" s="738"/>
      <c r="R175" s="579">
        <v>2000</v>
      </c>
      <c r="S175" s="624"/>
      <c r="T175" s="1494">
        <f>H175+N175</f>
        <v>5708</v>
      </c>
      <c r="V175" s="630">
        <f t="shared" si="49"/>
      </c>
    </row>
    <row r="176" spans="1:22" s="617" customFormat="1" ht="28.5" customHeight="1" thickBot="1">
      <c r="A176" s="1276" t="s">
        <v>54</v>
      </c>
      <c r="B176" s="1277"/>
      <c r="C176" s="1277"/>
      <c r="D176" s="1277"/>
      <c r="E176" s="1277"/>
      <c r="F176" s="1277"/>
      <c r="G176" s="1278"/>
      <c r="H176" s="1486">
        <f>SUM(H174:H175)</f>
        <v>23577.2</v>
      </c>
      <c r="I176" s="580">
        <f aca="true" t="shared" si="62" ref="I176:T176">SUM(I174:I175)</f>
        <v>11000</v>
      </c>
      <c r="J176" s="580">
        <f t="shared" si="62"/>
        <v>9932.58</v>
      </c>
      <c r="K176" s="580">
        <f t="shared" si="62"/>
        <v>1067.42</v>
      </c>
      <c r="L176" s="580">
        <f t="shared" si="62"/>
        <v>11000</v>
      </c>
      <c r="M176" s="580">
        <f t="shared" si="62"/>
        <v>4685.95</v>
      </c>
      <c r="N176" s="580">
        <f t="shared" si="62"/>
        <v>10500</v>
      </c>
      <c r="O176" s="580">
        <f t="shared" si="62"/>
        <v>-500</v>
      </c>
      <c r="P176" s="580">
        <f t="shared" si="62"/>
        <v>10500</v>
      </c>
      <c r="Q176" s="580">
        <f t="shared" si="62"/>
        <v>0</v>
      </c>
      <c r="R176" s="580">
        <f t="shared" si="62"/>
        <v>10500</v>
      </c>
      <c r="S176" s="580">
        <f t="shared" si="62"/>
        <v>0</v>
      </c>
      <c r="T176" s="613">
        <f t="shared" si="62"/>
        <v>34077.2</v>
      </c>
      <c r="V176" s="630">
        <f t="shared" si="49"/>
      </c>
    </row>
    <row r="177" spans="1:26" s="686" customFormat="1" ht="21" customHeight="1" thickBot="1">
      <c r="A177" s="1262" t="s">
        <v>59</v>
      </c>
      <c r="B177" s="1263"/>
      <c r="C177" s="1263"/>
      <c r="D177" s="1263"/>
      <c r="E177" s="1263"/>
      <c r="F177" s="1263"/>
      <c r="G177" s="1264"/>
      <c r="H177" s="1489">
        <f>H173+H176</f>
        <v>42099.240000000005</v>
      </c>
      <c r="I177" s="586">
        <f aca="true" t="shared" si="63" ref="I177:O177">I173+I176</f>
        <v>17000</v>
      </c>
      <c r="J177" s="586">
        <f t="shared" si="63"/>
        <v>16935.08</v>
      </c>
      <c r="K177" s="586">
        <f t="shared" si="63"/>
        <v>5564.92</v>
      </c>
      <c r="L177" s="586">
        <f t="shared" si="63"/>
        <v>22500</v>
      </c>
      <c r="M177" s="586">
        <f t="shared" si="63"/>
        <v>9685.95</v>
      </c>
      <c r="N177" s="586">
        <f t="shared" si="63"/>
        <v>21500</v>
      </c>
      <c r="O177" s="586">
        <f t="shared" si="63"/>
        <v>4500</v>
      </c>
      <c r="P177" s="586">
        <f>P173+P176</f>
        <v>21500</v>
      </c>
      <c r="Q177" s="586">
        <f>Q173+Q176</f>
        <v>0</v>
      </c>
      <c r="R177" s="586">
        <f>R173+R176</f>
        <v>21500</v>
      </c>
      <c r="S177" s="586">
        <f>S173+S176</f>
        <v>0</v>
      </c>
      <c r="T177" s="586">
        <f>T173+T176</f>
        <v>63599.24</v>
      </c>
      <c r="V177" s="630">
        <f t="shared" si="49"/>
      </c>
      <c r="X177" s="687"/>
      <c r="Z177" s="687"/>
    </row>
    <row r="178" spans="1:22" s="686" customFormat="1" ht="21" customHeight="1" thickBot="1">
      <c r="A178" s="1262" t="s">
        <v>61</v>
      </c>
      <c r="B178" s="1263"/>
      <c r="C178" s="1263"/>
      <c r="D178" s="1263"/>
      <c r="E178" s="1263"/>
      <c r="F178" s="1263"/>
      <c r="G178" s="1264"/>
      <c r="H178" s="1279"/>
      <c r="I178" s="1280"/>
      <c r="J178" s="1280"/>
      <c r="K178" s="1280"/>
      <c r="L178" s="1280"/>
      <c r="M178" s="1280"/>
      <c r="N178" s="1280"/>
      <c r="O178" s="1280"/>
      <c r="P178" s="1280"/>
      <c r="Q178" s="1280"/>
      <c r="R178" s="1280"/>
      <c r="S178" s="1280"/>
      <c r="T178" s="1280"/>
      <c r="V178" s="630">
        <f t="shared" si="49"/>
      </c>
    </row>
    <row r="179" spans="1:22" s="617" customFormat="1" ht="27.75" customHeight="1">
      <c r="A179" s="756">
        <v>9</v>
      </c>
      <c r="B179" s="758">
        <v>1</v>
      </c>
      <c r="C179" s="757">
        <v>1</v>
      </c>
      <c r="D179" s="1105">
        <v>818</v>
      </c>
      <c r="E179" s="776">
        <v>104</v>
      </c>
      <c r="F179" s="740" t="s">
        <v>113</v>
      </c>
      <c r="G179" s="759" t="s">
        <v>259</v>
      </c>
      <c r="H179" s="579">
        <v>1000</v>
      </c>
      <c r="I179" s="579"/>
      <c r="J179" s="579"/>
      <c r="K179" s="579"/>
      <c r="L179" s="579"/>
      <c r="M179" s="579"/>
      <c r="N179" s="579"/>
      <c r="O179" s="738"/>
      <c r="P179" s="738"/>
      <c r="Q179" s="623"/>
      <c r="R179" s="579"/>
      <c r="S179" s="624"/>
      <c r="T179" s="1501">
        <f>H179+N179</f>
        <v>1000</v>
      </c>
      <c r="V179" s="630">
        <f t="shared" si="49"/>
      </c>
    </row>
    <row r="180" spans="1:22" s="617" customFormat="1" ht="27.75" customHeight="1">
      <c r="A180" s="756">
        <v>9</v>
      </c>
      <c r="B180" s="758">
        <v>1</v>
      </c>
      <c r="C180" s="757">
        <v>1</v>
      </c>
      <c r="D180" s="779"/>
      <c r="E180" s="757">
        <v>107</v>
      </c>
      <c r="F180" s="740" t="s">
        <v>123</v>
      </c>
      <c r="G180" s="759" t="s">
        <v>427</v>
      </c>
      <c r="H180" s="576"/>
      <c r="I180" s="576"/>
      <c r="J180" s="576"/>
      <c r="K180" s="576"/>
      <c r="L180" s="576"/>
      <c r="M180" s="576"/>
      <c r="N180" s="576"/>
      <c r="O180" s="618"/>
      <c r="P180" s="618"/>
      <c r="Q180" s="618"/>
      <c r="R180" s="576"/>
      <c r="S180" s="621"/>
      <c r="T180" s="622">
        <f>H180+N180</f>
        <v>0</v>
      </c>
      <c r="V180" s="630">
        <f t="shared" si="49"/>
      </c>
    </row>
    <row r="181" spans="1:22" s="617" customFormat="1" ht="27.75" customHeight="1">
      <c r="A181" s="626">
        <v>9</v>
      </c>
      <c r="B181" s="766">
        <v>1</v>
      </c>
      <c r="C181" s="627">
        <v>1</v>
      </c>
      <c r="D181" s="768"/>
      <c r="E181" s="627">
        <v>107</v>
      </c>
      <c r="F181" s="628" t="s">
        <v>123</v>
      </c>
      <c r="G181" s="775" t="s">
        <v>428</v>
      </c>
      <c r="H181" s="577"/>
      <c r="I181" s="577"/>
      <c r="J181" s="577"/>
      <c r="K181" s="577"/>
      <c r="L181" s="577"/>
      <c r="M181" s="577"/>
      <c r="N181" s="577"/>
      <c r="O181" s="619"/>
      <c r="P181" s="619"/>
      <c r="Q181" s="639"/>
      <c r="R181" s="577"/>
      <c r="S181" s="640"/>
      <c r="T181" s="625">
        <f>H181+N181</f>
        <v>0</v>
      </c>
      <c r="V181" s="630">
        <f t="shared" si="49"/>
      </c>
    </row>
    <row r="182" spans="1:22" s="617" customFormat="1" ht="27.75" customHeight="1">
      <c r="A182" s="1276" t="s">
        <v>55</v>
      </c>
      <c r="B182" s="1277"/>
      <c r="C182" s="1277"/>
      <c r="D182" s="1277"/>
      <c r="E182" s="1277"/>
      <c r="F182" s="1277"/>
      <c r="G182" s="1278"/>
      <c r="H182" s="1486">
        <f aca="true" t="shared" si="64" ref="H182:Q182">SUM(H179:H181)</f>
        <v>1000</v>
      </c>
      <c r="I182" s="580">
        <f t="shared" si="64"/>
        <v>0</v>
      </c>
      <c r="J182" s="580">
        <f t="shared" si="64"/>
        <v>0</v>
      </c>
      <c r="K182" s="580">
        <f t="shared" si="64"/>
        <v>0</v>
      </c>
      <c r="L182" s="580">
        <f t="shared" si="64"/>
        <v>0</v>
      </c>
      <c r="M182" s="580">
        <f t="shared" si="64"/>
        <v>0</v>
      </c>
      <c r="N182" s="580">
        <f t="shared" si="64"/>
        <v>0</v>
      </c>
      <c r="O182" s="580">
        <f t="shared" si="64"/>
        <v>0</v>
      </c>
      <c r="P182" s="580">
        <f t="shared" si="64"/>
        <v>0</v>
      </c>
      <c r="Q182" s="612">
        <f t="shared" si="64"/>
        <v>0</v>
      </c>
      <c r="R182" s="612">
        <f>SUM(R179:R181)</f>
        <v>0</v>
      </c>
      <c r="S182" s="612">
        <f>SUM(S179:S181)</f>
        <v>0</v>
      </c>
      <c r="T182" s="613">
        <f>SUM(T179:T181)</f>
        <v>1000</v>
      </c>
      <c r="V182" s="630">
        <f t="shared" si="49"/>
      </c>
    </row>
    <row r="183" spans="1:22" s="617" customFormat="1" ht="27.75" customHeight="1">
      <c r="A183" s="796">
        <v>9</v>
      </c>
      <c r="B183" s="797">
        <v>2</v>
      </c>
      <c r="C183" s="798">
        <v>1</v>
      </c>
      <c r="D183" s="1107">
        <v>785</v>
      </c>
      <c r="E183" s="999">
        <v>103</v>
      </c>
      <c r="F183" s="800" t="s">
        <v>107</v>
      </c>
      <c r="G183" s="801" t="s">
        <v>260</v>
      </c>
      <c r="H183" s="589">
        <v>4755.71</v>
      </c>
      <c r="I183" s="589">
        <v>4920</v>
      </c>
      <c r="J183" s="589">
        <v>4920</v>
      </c>
      <c r="K183" s="589">
        <f>L183-J183</f>
        <v>0</v>
      </c>
      <c r="L183" s="589">
        <v>4920</v>
      </c>
      <c r="M183" s="589"/>
      <c r="N183" s="589">
        <v>6000</v>
      </c>
      <c r="O183" s="623">
        <f>N183-I183</f>
        <v>1080</v>
      </c>
      <c r="P183" s="623">
        <v>6000</v>
      </c>
      <c r="Q183" s="623"/>
      <c r="R183" s="589">
        <v>6000</v>
      </c>
      <c r="S183" s="802"/>
      <c r="T183" s="1502">
        <f>H183+N183</f>
        <v>10755.71</v>
      </c>
      <c r="V183" s="630">
        <f t="shared" si="49"/>
      </c>
    </row>
    <row r="184" spans="1:22" s="617" customFormat="1" ht="27.75" customHeight="1">
      <c r="A184" s="790">
        <v>9</v>
      </c>
      <c r="B184" s="774">
        <v>2</v>
      </c>
      <c r="C184" s="769">
        <v>1</v>
      </c>
      <c r="D184" s="1108">
        <v>840</v>
      </c>
      <c r="E184" s="1099">
        <v>103</v>
      </c>
      <c r="F184" s="770" t="s">
        <v>109</v>
      </c>
      <c r="G184" s="771" t="s">
        <v>261</v>
      </c>
      <c r="H184" s="588">
        <v>17730.44</v>
      </c>
      <c r="I184" s="588">
        <v>34000</v>
      </c>
      <c r="J184" s="588">
        <v>24034.16</v>
      </c>
      <c r="K184" s="588">
        <f>L184-J184</f>
        <v>9965.84</v>
      </c>
      <c r="L184" s="588">
        <v>34000</v>
      </c>
      <c r="M184" s="1166">
        <v>8298</v>
      </c>
      <c r="N184" s="596">
        <f>34000-6000</f>
        <v>28000</v>
      </c>
      <c r="O184" s="836">
        <f>N184-I184</f>
        <v>-6000</v>
      </c>
      <c r="P184" s="836">
        <v>28000</v>
      </c>
      <c r="Q184" s="1471"/>
      <c r="R184" s="596">
        <v>28000</v>
      </c>
      <c r="S184" s="747"/>
      <c r="T184" s="1503">
        <f>H184+N184</f>
        <v>45730.44</v>
      </c>
      <c r="V184" s="630">
        <f t="shared" si="49"/>
      </c>
    </row>
    <row r="185" spans="1:22" s="617" customFormat="1" ht="25.5" customHeight="1">
      <c r="A185" s="1276" t="s">
        <v>56</v>
      </c>
      <c r="B185" s="1277"/>
      <c r="C185" s="1277"/>
      <c r="D185" s="1277"/>
      <c r="E185" s="1277"/>
      <c r="F185" s="1277"/>
      <c r="G185" s="1278"/>
      <c r="H185" s="1486">
        <f aca="true" t="shared" si="65" ref="H185:T185">SUM(H183:H184)</f>
        <v>22486.149999999998</v>
      </c>
      <c r="I185" s="580">
        <f t="shared" si="65"/>
        <v>38920</v>
      </c>
      <c r="J185" s="580">
        <f t="shared" si="65"/>
        <v>28954.16</v>
      </c>
      <c r="K185" s="580">
        <f t="shared" si="65"/>
        <v>9965.84</v>
      </c>
      <c r="L185" s="580">
        <f t="shared" si="65"/>
        <v>38920</v>
      </c>
      <c r="M185" s="580">
        <f t="shared" si="65"/>
        <v>8298</v>
      </c>
      <c r="N185" s="580">
        <f t="shared" si="65"/>
        <v>34000</v>
      </c>
      <c r="O185" s="580">
        <f t="shared" si="65"/>
        <v>-4920</v>
      </c>
      <c r="P185" s="580">
        <f t="shared" si="65"/>
        <v>34000</v>
      </c>
      <c r="Q185" s="580">
        <f t="shared" si="65"/>
        <v>0</v>
      </c>
      <c r="R185" s="580">
        <f t="shared" si="65"/>
        <v>34000</v>
      </c>
      <c r="S185" s="580">
        <f t="shared" si="65"/>
        <v>0</v>
      </c>
      <c r="T185" s="613">
        <f t="shared" si="65"/>
        <v>56486.15</v>
      </c>
      <c r="V185" s="630">
        <f t="shared" si="49"/>
      </c>
    </row>
    <row r="186" spans="1:22" s="617" customFormat="1" ht="27.75" customHeight="1">
      <c r="A186" s="756">
        <v>9</v>
      </c>
      <c r="B186" s="758">
        <v>3</v>
      </c>
      <c r="C186" s="757">
        <v>1</v>
      </c>
      <c r="D186" s="1105">
        <v>265</v>
      </c>
      <c r="E186" s="776">
        <v>102</v>
      </c>
      <c r="F186" s="740" t="s">
        <v>96</v>
      </c>
      <c r="G186" s="787" t="s">
        <v>862</v>
      </c>
      <c r="H186" s="579">
        <v>4653.86</v>
      </c>
      <c r="I186" s="579"/>
      <c r="J186" s="579"/>
      <c r="K186" s="579"/>
      <c r="L186" s="575"/>
      <c r="M186" s="579"/>
      <c r="N186" s="575"/>
      <c r="O186" s="1067"/>
      <c r="P186" s="575"/>
      <c r="Q186" s="1073"/>
      <c r="R186" s="574"/>
      <c r="S186" s="624"/>
      <c r="T186" s="1494">
        <f aca="true" t="shared" si="66" ref="T186:T192">H186+N186</f>
        <v>4653.86</v>
      </c>
      <c r="V186" s="630">
        <f t="shared" si="49"/>
      </c>
    </row>
    <row r="187" spans="1:22" s="617" customFormat="1" ht="27.75" customHeight="1">
      <c r="A187" s="756">
        <v>9</v>
      </c>
      <c r="B187" s="758">
        <v>3</v>
      </c>
      <c r="C187" s="757">
        <v>1</v>
      </c>
      <c r="D187" s="1105">
        <v>824</v>
      </c>
      <c r="E187" s="776">
        <v>101</v>
      </c>
      <c r="F187" s="740" t="s">
        <v>1093</v>
      </c>
      <c r="G187" s="787" t="s">
        <v>1096</v>
      </c>
      <c r="H187" s="579">
        <v>15.84</v>
      </c>
      <c r="I187" s="579"/>
      <c r="J187" s="579">
        <v>791.93</v>
      </c>
      <c r="K187" s="579">
        <f aca="true" t="shared" si="67" ref="K187:K192">L187-J187</f>
        <v>0</v>
      </c>
      <c r="L187" s="575">
        <v>791.93</v>
      </c>
      <c r="M187" s="579"/>
      <c r="N187" s="575"/>
      <c r="O187" s="1067">
        <f aca="true" t="shared" si="68" ref="O187:O192">N187-I187</f>
        <v>0</v>
      </c>
      <c r="P187" s="575"/>
      <c r="Q187" s="575"/>
      <c r="R187" s="574"/>
      <c r="S187" s="624"/>
      <c r="T187" s="1494">
        <f t="shared" si="66"/>
        <v>15.84</v>
      </c>
      <c r="V187" s="630">
        <f t="shared" si="49"/>
      </c>
    </row>
    <row r="188" spans="1:22" s="617" customFormat="1" ht="27.75" customHeight="1">
      <c r="A188" s="756">
        <v>9</v>
      </c>
      <c r="B188" s="758">
        <v>3</v>
      </c>
      <c r="C188" s="757">
        <v>1</v>
      </c>
      <c r="D188" s="1105">
        <v>825</v>
      </c>
      <c r="E188" s="776">
        <v>101</v>
      </c>
      <c r="F188" s="740" t="s">
        <v>96</v>
      </c>
      <c r="G188" s="759" t="s">
        <v>263</v>
      </c>
      <c r="H188" s="579">
        <v>363.86</v>
      </c>
      <c r="I188" s="579">
        <v>20300</v>
      </c>
      <c r="J188" s="579">
        <v>20700</v>
      </c>
      <c r="K188" s="579">
        <f t="shared" si="67"/>
        <v>165</v>
      </c>
      <c r="L188" s="575">
        <v>20865</v>
      </c>
      <c r="M188" s="579"/>
      <c r="N188" s="575">
        <v>21180</v>
      </c>
      <c r="O188" s="1067">
        <f t="shared" si="68"/>
        <v>880</v>
      </c>
      <c r="P188" s="575">
        <v>21180</v>
      </c>
      <c r="Q188" s="575"/>
      <c r="R188" s="574">
        <v>21180</v>
      </c>
      <c r="S188" s="624"/>
      <c r="T188" s="1494">
        <f t="shared" si="66"/>
        <v>21543.86</v>
      </c>
      <c r="V188" s="630">
        <f t="shared" si="49"/>
      </c>
    </row>
    <row r="189" spans="1:22" s="617" customFormat="1" ht="27.75" customHeight="1">
      <c r="A189" s="756">
        <v>9</v>
      </c>
      <c r="B189" s="758">
        <v>3</v>
      </c>
      <c r="C189" s="757">
        <v>1</v>
      </c>
      <c r="D189" s="1105">
        <v>826</v>
      </c>
      <c r="E189" s="776">
        <v>102</v>
      </c>
      <c r="F189" s="741" t="s">
        <v>104</v>
      </c>
      <c r="G189" s="760" t="s">
        <v>264</v>
      </c>
      <c r="H189" s="576">
        <v>39.26</v>
      </c>
      <c r="I189" s="576">
        <v>1900</v>
      </c>
      <c r="J189" s="576">
        <v>1900</v>
      </c>
      <c r="K189" s="579">
        <f t="shared" si="67"/>
        <v>120</v>
      </c>
      <c r="L189" s="575">
        <v>2020</v>
      </c>
      <c r="M189" s="575"/>
      <c r="N189" s="575">
        <v>1850</v>
      </c>
      <c r="O189" s="1067">
        <f t="shared" si="68"/>
        <v>-50</v>
      </c>
      <c r="P189" s="636">
        <v>1850</v>
      </c>
      <c r="Q189" s="636"/>
      <c r="R189" s="575">
        <v>1850</v>
      </c>
      <c r="S189" s="621"/>
      <c r="T189" s="1493">
        <f t="shared" si="66"/>
        <v>1889.26</v>
      </c>
      <c r="V189" s="630">
        <f t="shared" si="49"/>
      </c>
    </row>
    <row r="190" spans="1:22" s="617" customFormat="1" ht="27.75" customHeight="1">
      <c r="A190" s="761">
        <v>9</v>
      </c>
      <c r="B190" s="764">
        <v>3</v>
      </c>
      <c r="C190" s="762">
        <v>1</v>
      </c>
      <c r="D190" s="1101">
        <v>827</v>
      </c>
      <c r="E190" s="666">
        <v>101</v>
      </c>
      <c r="F190" s="741" t="s">
        <v>97</v>
      </c>
      <c r="G190" s="760" t="s">
        <v>265</v>
      </c>
      <c r="H190" s="576">
        <v>11.67</v>
      </c>
      <c r="I190" s="576">
        <v>5900</v>
      </c>
      <c r="J190" s="576">
        <v>6250</v>
      </c>
      <c r="K190" s="579">
        <f t="shared" si="67"/>
        <v>40</v>
      </c>
      <c r="L190" s="575">
        <v>6290</v>
      </c>
      <c r="M190" s="575"/>
      <c r="N190" s="575">
        <v>6050</v>
      </c>
      <c r="O190" s="1067">
        <f t="shared" si="68"/>
        <v>150</v>
      </c>
      <c r="P190" s="575">
        <v>6050</v>
      </c>
      <c r="Q190" s="636"/>
      <c r="R190" s="575">
        <v>6050</v>
      </c>
      <c r="S190" s="621"/>
      <c r="T190" s="1493">
        <f t="shared" si="66"/>
        <v>6061.67</v>
      </c>
      <c r="V190" s="630">
        <f t="shared" si="49"/>
      </c>
    </row>
    <row r="191" spans="1:22" s="617" customFormat="1" ht="27.75" customHeight="1">
      <c r="A191" s="626">
        <v>9</v>
      </c>
      <c r="B191" s="766">
        <v>3</v>
      </c>
      <c r="C191" s="627">
        <v>1</v>
      </c>
      <c r="D191" s="1104">
        <v>830</v>
      </c>
      <c r="E191" s="665">
        <v>103</v>
      </c>
      <c r="F191" s="628" t="s">
        <v>107</v>
      </c>
      <c r="G191" s="775" t="s">
        <v>266</v>
      </c>
      <c r="H191" s="577">
        <v>12633.62</v>
      </c>
      <c r="I191" s="577">
        <v>2000</v>
      </c>
      <c r="J191" s="577">
        <v>1500</v>
      </c>
      <c r="K191" s="579">
        <f t="shared" si="67"/>
        <v>500</v>
      </c>
      <c r="L191" s="577">
        <v>2000</v>
      </c>
      <c r="M191" s="1161">
        <v>10675</v>
      </c>
      <c r="N191" s="577">
        <v>2000</v>
      </c>
      <c r="O191" s="1067">
        <f t="shared" si="68"/>
        <v>0</v>
      </c>
      <c r="P191" s="619">
        <v>2000</v>
      </c>
      <c r="Q191" s="618"/>
      <c r="R191" s="577">
        <v>2000</v>
      </c>
      <c r="S191" s="640"/>
      <c r="T191" s="1498">
        <f t="shared" si="66"/>
        <v>14633.62</v>
      </c>
      <c r="V191" s="630">
        <f t="shared" si="49"/>
      </c>
    </row>
    <row r="192" spans="1:22" s="617" customFormat="1" ht="27.75" customHeight="1">
      <c r="A192" s="626">
        <v>9</v>
      </c>
      <c r="B192" s="766">
        <v>3</v>
      </c>
      <c r="C192" s="627">
        <v>1</v>
      </c>
      <c r="D192" s="1104">
        <v>831</v>
      </c>
      <c r="E192" s="665">
        <v>104</v>
      </c>
      <c r="F192" s="628" t="s">
        <v>113</v>
      </c>
      <c r="G192" s="629" t="s">
        <v>943</v>
      </c>
      <c r="H192" s="577"/>
      <c r="I192" s="577">
        <v>1400</v>
      </c>
      <c r="J192" s="577">
        <v>1337.2</v>
      </c>
      <c r="K192" s="579">
        <f t="shared" si="67"/>
        <v>62.799999999999955</v>
      </c>
      <c r="L192" s="577">
        <v>1400</v>
      </c>
      <c r="M192" s="577"/>
      <c r="N192" s="577">
        <v>1500</v>
      </c>
      <c r="O192" s="1067">
        <f t="shared" si="68"/>
        <v>100</v>
      </c>
      <c r="P192" s="619">
        <v>1500</v>
      </c>
      <c r="Q192" s="639"/>
      <c r="R192" s="577">
        <v>1500</v>
      </c>
      <c r="S192" s="640"/>
      <c r="T192" s="1498">
        <f t="shared" si="66"/>
        <v>1500</v>
      </c>
      <c r="V192" s="630">
        <f t="shared" si="49"/>
      </c>
    </row>
    <row r="193" spans="1:22" s="617" customFormat="1" ht="27.75" customHeight="1">
      <c r="A193" s="1276" t="s">
        <v>57</v>
      </c>
      <c r="B193" s="1277"/>
      <c r="C193" s="1277"/>
      <c r="D193" s="1277"/>
      <c r="E193" s="1277"/>
      <c r="F193" s="1277"/>
      <c r="G193" s="1278"/>
      <c r="H193" s="1486">
        <f aca="true" t="shared" si="69" ref="H193:T193">SUM(H186:H192)</f>
        <v>17718.11</v>
      </c>
      <c r="I193" s="580">
        <f t="shared" si="69"/>
        <v>31500</v>
      </c>
      <c r="J193" s="580">
        <f t="shared" si="69"/>
        <v>32479.13</v>
      </c>
      <c r="K193" s="580">
        <f t="shared" si="69"/>
        <v>887.8</v>
      </c>
      <c r="L193" s="580">
        <f t="shared" si="69"/>
        <v>33366.93</v>
      </c>
      <c r="M193" s="580">
        <f t="shared" si="69"/>
        <v>10675</v>
      </c>
      <c r="N193" s="580">
        <f t="shared" si="69"/>
        <v>32580</v>
      </c>
      <c r="O193" s="580">
        <f t="shared" si="69"/>
        <v>1080</v>
      </c>
      <c r="P193" s="580">
        <f t="shared" si="69"/>
        <v>32580</v>
      </c>
      <c r="Q193" s="612">
        <f t="shared" si="69"/>
        <v>0</v>
      </c>
      <c r="R193" s="612">
        <f t="shared" si="69"/>
        <v>32580</v>
      </c>
      <c r="S193" s="612">
        <f t="shared" si="69"/>
        <v>0</v>
      </c>
      <c r="T193" s="613">
        <f t="shared" si="69"/>
        <v>50298.11</v>
      </c>
      <c r="V193" s="630">
        <f t="shared" si="49"/>
      </c>
    </row>
    <row r="194" spans="1:22" s="617" customFormat="1" ht="27.75" customHeight="1">
      <c r="A194" s="756">
        <v>9</v>
      </c>
      <c r="B194" s="758">
        <v>4</v>
      </c>
      <c r="C194" s="757">
        <v>1</v>
      </c>
      <c r="D194" s="1105">
        <v>790</v>
      </c>
      <c r="E194" s="757">
        <v>103</v>
      </c>
      <c r="F194" s="741" t="s">
        <v>106</v>
      </c>
      <c r="G194" s="759" t="s">
        <v>267</v>
      </c>
      <c r="H194" s="579">
        <v>6984.99</v>
      </c>
      <c r="I194" s="579">
        <v>2000</v>
      </c>
      <c r="J194" s="579">
        <v>2000</v>
      </c>
      <c r="K194" s="579">
        <f>L194-J194</f>
        <v>0</v>
      </c>
      <c r="L194" s="579">
        <v>2000</v>
      </c>
      <c r="M194" s="579"/>
      <c r="N194" s="579">
        <v>2000</v>
      </c>
      <c r="O194" s="738">
        <f>N194-I194</f>
        <v>0</v>
      </c>
      <c r="P194" s="738">
        <v>2000</v>
      </c>
      <c r="Q194" s="623"/>
      <c r="R194" s="579">
        <v>2000</v>
      </c>
      <c r="S194" s="624"/>
      <c r="T194" s="1494">
        <f>H194+N194</f>
        <v>8984.99</v>
      </c>
      <c r="V194" s="630">
        <f t="shared" si="49"/>
      </c>
    </row>
    <row r="195" spans="1:22" s="617" customFormat="1" ht="27.75" customHeight="1">
      <c r="A195" s="626">
        <v>9</v>
      </c>
      <c r="B195" s="766">
        <v>4</v>
      </c>
      <c r="C195" s="627">
        <v>1</v>
      </c>
      <c r="D195" s="1104">
        <v>820</v>
      </c>
      <c r="E195" s="769">
        <v>107</v>
      </c>
      <c r="F195" s="740" t="s">
        <v>123</v>
      </c>
      <c r="G195" s="759" t="s">
        <v>332</v>
      </c>
      <c r="H195" s="577"/>
      <c r="I195" s="577"/>
      <c r="J195" s="577"/>
      <c r="K195" s="577"/>
      <c r="L195" s="577"/>
      <c r="M195" s="577"/>
      <c r="N195" s="577"/>
      <c r="O195" s="619"/>
      <c r="P195" s="619"/>
      <c r="Q195" s="639"/>
      <c r="R195" s="577"/>
      <c r="S195" s="640"/>
      <c r="T195" s="641"/>
      <c r="V195" s="630">
        <f t="shared" si="49"/>
      </c>
    </row>
    <row r="196" spans="1:22" s="617" customFormat="1" ht="27.75" customHeight="1" thickBot="1">
      <c r="A196" s="1276" t="s">
        <v>58</v>
      </c>
      <c r="B196" s="1277"/>
      <c r="C196" s="1277"/>
      <c r="D196" s="1277"/>
      <c r="E196" s="1277"/>
      <c r="F196" s="1277"/>
      <c r="G196" s="1278"/>
      <c r="H196" s="1486">
        <f aca="true" t="shared" si="70" ref="H196:Q196">SUM(H194:H195)</f>
        <v>6984.99</v>
      </c>
      <c r="I196" s="580">
        <f t="shared" si="70"/>
        <v>2000</v>
      </c>
      <c r="J196" s="580">
        <f t="shared" si="70"/>
        <v>2000</v>
      </c>
      <c r="K196" s="580">
        <f t="shared" si="70"/>
        <v>0</v>
      </c>
      <c r="L196" s="580">
        <f t="shared" si="70"/>
        <v>2000</v>
      </c>
      <c r="M196" s="580">
        <f t="shared" si="70"/>
        <v>0</v>
      </c>
      <c r="N196" s="580">
        <f t="shared" si="70"/>
        <v>2000</v>
      </c>
      <c r="O196" s="580">
        <f t="shared" si="70"/>
        <v>0</v>
      </c>
      <c r="P196" s="580">
        <f t="shared" si="70"/>
        <v>2000</v>
      </c>
      <c r="Q196" s="612">
        <f t="shared" si="70"/>
        <v>0</v>
      </c>
      <c r="R196" s="612">
        <f>SUM(R194:R195)</f>
        <v>2000</v>
      </c>
      <c r="S196" s="612">
        <f>SUM(S194:S195)</f>
        <v>0</v>
      </c>
      <c r="T196" s="613">
        <f>SUM(T194:T195)</f>
        <v>8984.99</v>
      </c>
      <c r="V196" s="630">
        <f t="shared" si="49"/>
      </c>
    </row>
    <row r="197" spans="1:26" s="686" customFormat="1" ht="21" customHeight="1" thickBot="1">
      <c r="A197" s="1262" t="s">
        <v>60</v>
      </c>
      <c r="B197" s="1263"/>
      <c r="C197" s="1263"/>
      <c r="D197" s="1263"/>
      <c r="E197" s="1263"/>
      <c r="F197" s="1263"/>
      <c r="G197" s="1264"/>
      <c r="H197" s="1489">
        <f aca="true" t="shared" si="71" ref="H197:T197">H182+H185+H193+H196</f>
        <v>48189.24999999999</v>
      </c>
      <c r="I197" s="586">
        <f t="shared" si="71"/>
        <v>72420</v>
      </c>
      <c r="J197" s="586">
        <f t="shared" si="71"/>
        <v>63433.29</v>
      </c>
      <c r="K197" s="586">
        <f t="shared" si="71"/>
        <v>10853.64</v>
      </c>
      <c r="L197" s="586">
        <f t="shared" si="71"/>
        <v>74286.93</v>
      </c>
      <c r="M197" s="586">
        <f t="shared" si="71"/>
        <v>18973</v>
      </c>
      <c r="N197" s="586">
        <f t="shared" si="71"/>
        <v>68580</v>
      </c>
      <c r="O197" s="586">
        <f t="shared" si="71"/>
        <v>-3840</v>
      </c>
      <c r="P197" s="586">
        <f t="shared" si="71"/>
        <v>68580</v>
      </c>
      <c r="Q197" s="586">
        <f t="shared" si="71"/>
        <v>0</v>
      </c>
      <c r="R197" s="586">
        <f t="shared" si="71"/>
        <v>68580</v>
      </c>
      <c r="S197" s="586">
        <f t="shared" si="71"/>
        <v>0</v>
      </c>
      <c r="T197" s="586">
        <f t="shared" si="71"/>
        <v>116769.25000000001</v>
      </c>
      <c r="V197" s="630">
        <f t="shared" si="49"/>
      </c>
      <c r="X197" s="687"/>
      <c r="Z197" s="687"/>
    </row>
    <row r="198" spans="1:22" s="686" customFormat="1" ht="21" customHeight="1" thickBot="1">
      <c r="A198" s="1262" t="s">
        <v>62</v>
      </c>
      <c r="B198" s="1263"/>
      <c r="C198" s="1263"/>
      <c r="D198" s="1263"/>
      <c r="E198" s="1263"/>
      <c r="F198" s="1263"/>
      <c r="G198" s="1264"/>
      <c r="H198" s="1279"/>
      <c r="I198" s="1280"/>
      <c r="J198" s="1280"/>
      <c r="K198" s="1280"/>
      <c r="L198" s="1280"/>
      <c r="M198" s="1280"/>
      <c r="N198" s="1280"/>
      <c r="O198" s="1280"/>
      <c r="P198" s="1280"/>
      <c r="Q198" s="1280"/>
      <c r="R198" s="1280"/>
      <c r="S198" s="1280"/>
      <c r="T198" s="1280"/>
      <c r="V198" s="630">
        <f t="shared" si="49"/>
      </c>
    </row>
    <row r="199" spans="1:22" s="617" customFormat="1" ht="27.75" customHeight="1">
      <c r="A199" s="756">
        <v>10</v>
      </c>
      <c r="B199" s="758">
        <v>5</v>
      </c>
      <c r="C199" s="757">
        <v>1</v>
      </c>
      <c r="D199" s="1105">
        <v>660</v>
      </c>
      <c r="E199" s="776">
        <v>101</v>
      </c>
      <c r="F199" s="740" t="s">
        <v>96</v>
      </c>
      <c r="G199" s="759" t="s">
        <v>268</v>
      </c>
      <c r="H199" s="579">
        <v>794.11</v>
      </c>
      <c r="I199" s="579">
        <v>35300</v>
      </c>
      <c r="J199" s="579">
        <v>35300</v>
      </c>
      <c r="K199" s="579">
        <f>L199-J199</f>
        <v>1160</v>
      </c>
      <c r="L199" s="579">
        <v>36460</v>
      </c>
      <c r="M199" s="579"/>
      <c r="N199" s="1067">
        <v>46700</v>
      </c>
      <c r="O199" s="1067">
        <f>N199-I199</f>
        <v>11400</v>
      </c>
      <c r="P199" s="574">
        <v>46700</v>
      </c>
      <c r="Q199" s="633"/>
      <c r="R199" s="574">
        <v>46700</v>
      </c>
      <c r="S199" s="624"/>
      <c r="T199" s="1500">
        <f aca="true" t="shared" si="72" ref="T199:T211">H199+N199</f>
        <v>47494.11</v>
      </c>
      <c r="V199" s="630">
        <f t="shared" si="49"/>
      </c>
    </row>
    <row r="200" spans="1:22" s="617" customFormat="1" ht="27.75" customHeight="1">
      <c r="A200" s="756">
        <v>10</v>
      </c>
      <c r="B200" s="758">
        <v>5</v>
      </c>
      <c r="C200" s="757">
        <v>1</v>
      </c>
      <c r="D200" s="1105">
        <v>661</v>
      </c>
      <c r="E200" s="776">
        <v>101</v>
      </c>
      <c r="F200" s="740" t="s">
        <v>1093</v>
      </c>
      <c r="G200" s="787" t="s">
        <v>1096</v>
      </c>
      <c r="H200" s="579">
        <v>1.16</v>
      </c>
      <c r="I200" s="579"/>
      <c r="J200" s="579">
        <v>1260.78</v>
      </c>
      <c r="K200" s="579">
        <f>L200-J200</f>
        <v>0</v>
      </c>
      <c r="L200" s="579">
        <v>1260.78</v>
      </c>
      <c r="M200" s="579"/>
      <c r="N200" s="1067"/>
      <c r="O200" s="1067">
        <f>N200-I200</f>
        <v>0</v>
      </c>
      <c r="P200" s="574"/>
      <c r="Q200" s="1067"/>
      <c r="R200" s="575"/>
      <c r="S200" s="624"/>
      <c r="T200" s="1498">
        <f t="shared" si="72"/>
        <v>1.16</v>
      </c>
      <c r="V200" s="630">
        <f aca="true" t="shared" si="73" ref="V200:V263">IF(T200&gt;(H200+N200),"ERRORE","")</f>
      </c>
    </row>
    <row r="201" spans="1:22" s="617" customFormat="1" ht="27.75" customHeight="1">
      <c r="A201" s="761">
        <v>10</v>
      </c>
      <c r="B201" s="764">
        <v>5</v>
      </c>
      <c r="C201" s="762">
        <v>1</v>
      </c>
      <c r="D201" s="1101">
        <v>670</v>
      </c>
      <c r="E201" s="666">
        <v>101</v>
      </c>
      <c r="F201" s="741" t="s">
        <v>97</v>
      </c>
      <c r="G201" s="760" t="s">
        <v>269</v>
      </c>
      <c r="H201" s="576">
        <v>213.31</v>
      </c>
      <c r="I201" s="576">
        <v>9900</v>
      </c>
      <c r="J201" s="576">
        <v>9274.95</v>
      </c>
      <c r="K201" s="579">
        <f aca="true" t="shared" si="74" ref="K201:K211">L201-J201</f>
        <v>1303.0499999999993</v>
      </c>
      <c r="L201" s="576">
        <v>10578</v>
      </c>
      <c r="M201" s="576"/>
      <c r="N201" s="636">
        <v>13270</v>
      </c>
      <c r="O201" s="1067">
        <f aca="true" t="shared" si="75" ref="O201:O211">N201-I201</f>
        <v>3370</v>
      </c>
      <c r="P201" s="575">
        <v>13270</v>
      </c>
      <c r="Q201" s="636"/>
      <c r="R201" s="575">
        <v>13270</v>
      </c>
      <c r="S201" s="621"/>
      <c r="T201" s="1498">
        <f t="shared" si="72"/>
        <v>13483.31</v>
      </c>
      <c r="V201" s="630">
        <f t="shared" si="73"/>
      </c>
    </row>
    <row r="202" spans="1:22" s="617" customFormat="1" ht="27.75" customHeight="1">
      <c r="A202" s="761">
        <v>10</v>
      </c>
      <c r="B202" s="764">
        <v>5</v>
      </c>
      <c r="C202" s="762">
        <v>1</v>
      </c>
      <c r="D202" s="1101">
        <v>672</v>
      </c>
      <c r="E202" s="666">
        <v>101</v>
      </c>
      <c r="F202" s="741" t="s">
        <v>876</v>
      </c>
      <c r="G202" s="765" t="s">
        <v>678</v>
      </c>
      <c r="H202" s="576"/>
      <c r="I202" s="576"/>
      <c r="J202" s="576"/>
      <c r="K202" s="579">
        <f t="shared" si="74"/>
        <v>0</v>
      </c>
      <c r="L202" s="576"/>
      <c r="M202" s="576"/>
      <c r="N202" s="636"/>
      <c r="O202" s="1067">
        <f t="shared" si="75"/>
        <v>0</v>
      </c>
      <c r="P202" s="575"/>
      <c r="Q202" s="636"/>
      <c r="R202" s="575"/>
      <c r="S202" s="621"/>
      <c r="T202" s="622">
        <f t="shared" si="72"/>
        <v>0</v>
      </c>
      <c r="V202" s="630">
        <f t="shared" si="73"/>
      </c>
    </row>
    <row r="203" spans="1:22" s="617" customFormat="1" ht="27.75" customHeight="1">
      <c r="A203" s="761">
        <v>10</v>
      </c>
      <c r="B203" s="764">
        <v>5</v>
      </c>
      <c r="C203" s="762">
        <v>1</v>
      </c>
      <c r="D203" s="1101">
        <v>675</v>
      </c>
      <c r="E203" s="666">
        <v>102</v>
      </c>
      <c r="F203" s="741" t="s">
        <v>104</v>
      </c>
      <c r="G203" s="760" t="s">
        <v>270</v>
      </c>
      <c r="H203" s="576">
        <v>203.85</v>
      </c>
      <c r="I203" s="576">
        <v>3100</v>
      </c>
      <c r="J203" s="576">
        <v>3100</v>
      </c>
      <c r="K203" s="579">
        <f t="shared" si="74"/>
        <v>208</v>
      </c>
      <c r="L203" s="576">
        <v>3308</v>
      </c>
      <c r="M203" s="576"/>
      <c r="N203" s="636">
        <v>4030</v>
      </c>
      <c r="O203" s="1067">
        <f t="shared" si="75"/>
        <v>930</v>
      </c>
      <c r="P203" s="575">
        <v>4030</v>
      </c>
      <c r="Q203" s="636"/>
      <c r="R203" s="575">
        <v>4030</v>
      </c>
      <c r="S203" s="621"/>
      <c r="T203" s="1498">
        <f t="shared" si="72"/>
        <v>4233.85</v>
      </c>
      <c r="V203" s="630">
        <f t="shared" si="73"/>
      </c>
    </row>
    <row r="204" spans="1:22" s="617" customFormat="1" ht="27.75" customHeight="1">
      <c r="A204" s="761">
        <v>10</v>
      </c>
      <c r="B204" s="764">
        <v>5</v>
      </c>
      <c r="C204" s="762">
        <v>1</v>
      </c>
      <c r="D204" s="1101">
        <v>676</v>
      </c>
      <c r="E204" s="666">
        <v>102</v>
      </c>
      <c r="F204" s="741" t="s">
        <v>104</v>
      </c>
      <c r="G204" s="765" t="s">
        <v>963</v>
      </c>
      <c r="H204" s="576">
        <v>1721.9</v>
      </c>
      <c r="I204" s="576"/>
      <c r="J204" s="576"/>
      <c r="K204" s="579">
        <f t="shared" si="74"/>
        <v>0</v>
      </c>
      <c r="L204" s="576"/>
      <c r="M204" s="576"/>
      <c r="N204" s="636"/>
      <c r="O204" s="1067">
        <f t="shared" si="75"/>
        <v>0</v>
      </c>
      <c r="P204" s="575"/>
      <c r="Q204" s="636"/>
      <c r="R204" s="575"/>
      <c r="S204" s="621"/>
      <c r="T204" s="1498">
        <f t="shared" si="72"/>
        <v>1721.9</v>
      </c>
      <c r="V204" s="630">
        <f t="shared" si="73"/>
      </c>
    </row>
    <row r="205" spans="1:22" s="617" customFormat="1" ht="27.75" customHeight="1">
      <c r="A205" s="761">
        <v>10</v>
      </c>
      <c r="B205" s="764">
        <v>5</v>
      </c>
      <c r="C205" s="762">
        <v>1</v>
      </c>
      <c r="D205" s="1101">
        <v>690</v>
      </c>
      <c r="E205" s="666">
        <v>103</v>
      </c>
      <c r="F205" s="741" t="s">
        <v>109</v>
      </c>
      <c r="G205" s="765" t="s">
        <v>643</v>
      </c>
      <c r="H205" s="576">
        <v>27876.35</v>
      </c>
      <c r="I205" s="576">
        <v>44500</v>
      </c>
      <c r="J205" s="576">
        <v>41413.76</v>
      </c>
      <c r="K205" s="579">
        <f t="shared" si="74"/>
        <v>3086.239999999998</v>
      </c>
      <c r="L205" s="576">
        <v>44500</v>
      </c>
      <c r="M205" s="576">
        <v>2750</v>
      </c>
      <c r="N205" s="636">
        <f>44500-10000</f>
        <v>34500</v>
      </c>
      <c r="O205" s="1067">
        <f t="shared" si="75"/>
        <v>-10000</v>
      </c>
      <c r="P205" s="575">
        <v>34500</v>
      </c>
      <c r="Q205" s="636"/>
      <c r="R205" s="575">
        <v>34500</v>
      </c>
      <c r="S205" s="621"/>
      <c r="T205" s="1498">
        <f t="shared" si="72"/>
        <v>62376.35</v>
      </c>
      <c r="V205" s="630">
        <f t="shared" si="73"/>
      </c>
    </row>
    <row r="206" spans="1:22" s="617" customFormat="1" ht="27.75" customHeight="1">
      <c r="A206" s="761">
        <v>10</v>
      </c>
      <c r="B206" s="764">
        <v>5</v>
      </c>
      <c r="C206" s="762">
        <v>1</v>
      </c>
      <c r="D206" s="1101">
        <v>700</v>
      </c>
      <c r="E206" s="666">
        <v>103</v>
      </c>
      <c r="F206" s="741" t="s">
        <v>98</v>
      </c>
      <c r="G206" s="760" t="s">
        <v>271</v>
      </c>
      <c r="H206" s="576"/>
      <c r="I206" s="576">
        <v>2500</v>
      </c>
      <c r="J206" s="576">
        <v>1418.77</v>
      </c>
      <c r="K206" s="579">
        <f t="shared" si="74"/>
        <v>1081.23</v>
      </c>
      <c r="L206" s="576">
        <v>2500</v>
      </c>
      <c r="M206" s="576"/>
      <c r="N206" s="636">
        <v>2500</v>
      </c>
      <c r="O206" s="1067">
        <f t="shared" si="75"/>
        <v>0</v>
      </c>
      <c r="P206" s="575">
        <v>2500</v>
      </c>
      <c r="Q206" s="636"/>
      <c r="R206" s="575">
        <v>2500</v>
      </c>
      <c r="S206" s="621"/>
      <c r="T206" s="1493">
        <f t="shared" si="72"/>
        <v>2500</v>
      </c>
      <c r="V206" s="630">
        <f t="shared" si="73"/>
      </c>
    </row>
    <row r="207" spans="1:22" s="617" customFormat="1" ht="27.75" customHeight="1">
      <c r="A207" s="761">
        <v>10</v>
      </c>
      <c r="B207" s="764">
        <v>5</v>
      </c>
      <c r="C207" s="762">
        <v>1</v>
      </c>
      <c r="D207" s="1101">
        <v>720</v>
      </c>
      <c r="E207" s="666">
        <v>103</v>
      </c>
      <c r="F207" s="741" t="s">
        <v>98</v>
      </c>
      <c r="G207" s="760" t="s">
        <v>272</v>
      </c>
      <c r="H207" s="576">
        <v>9760</v>
      </c>
      <c r="I207" s="576">
        <v>16000</v>
      </c>
      <c r="J207" s="576">
        <v>15568.54</v>
      </c>
      <c r="K207" s="579">
        <f t="shared" si="74"/>
        <v>431.4599999999991</v>
      </c>
      <c r="L207" s="576">
        <v>16000</v>
      </c>
      <c r="M207" s="576"/>
      <c r="N207" s="636">
        <v>10000</v>
      </c>
      <c r="O207" s="1067">
        <f t="shared" si="75"/>
        <v>-6000</v>
      </c>
      <c r="P207" s="575">
        <v>10000</v>
      </c>
      <c r="Q207" s="636"/>
      <c r="R207" s="575">
        <v>10000</v>
      </c>
      <c r="S207" s="621"/>
      <c r="T207" s="1498">
        <f t="shared" si="72"/>
        <v>19760</v>
      </c>
      <c r="V207" s="630">
        <f t="shared" si="73"/>
      </c>
    </row>
    <row r="208" spans="1:22" s="617" customFormat="1" ht="27" customHeight="1">
      <c r="A208" s="761">
        <v>10</v>
      </c>
      <c r="B208" s="764">
        <v>5</v>
      </c>
      <c r="C208" s="762">
        <v>1</v>
      </c>
      <c r="D208" s="1101">
        <v>740</v>
      </c>
      <c r="E208" s="666">
        <v>103</v>
      </c>
      <c r="F208" s="741" t="s">
        <v>106</v>
      </c>
      <c r="G208" s="760" t="s">
        <v>273</v>
      </c>
      <c r="H208" s="576">
        <v>20556.1</v>
      </c>
      <c r="I208" s="576">
        <v>48000</v>
      </c>
      <c r="J208" s="576">
        <v>20000</v>
      </c>
      <c r="K208" s="579">
        <f t="shared" si="74"/>
        <v>28000</v>
      </c>
      <c r="L208" s="576">
        <v>48000</v>
      </c>
      <c r="M208" s="1162">
        <v>50000</v>
      </c>
      <c r="N208" s="636">
        <f>48000-5000</f>
        <v>43000</v>
      </c>
      <c r="O208" s="1067">
        <f t="shared" si="75"/>
        <v>-5000</v>
      </c>
      <c r="P208" s="575">
        <v>43000</v>
      </c>
      <c r="Q208" s="636"/>
      <c r="R208" s="575">
        <v>43000</v>
      </c>
      <c r="S208" s="621"/>
      <c r="T208" s="1498">
        <f t="shared" si="72"/>
        <v>63556.1</v>
      </c>
      <c r="V208" s="630">
        <f t="shared" si="73"/>
      </c>
    </row>
    <row r="209" spans="1:22" s="617" customFormat="1" ht="27.75" customHeight="1">
      <c r="A209" s="761">
        <v>10</v>
      </c>
      <c r="B209" s="764">
        <v>5</v>
      </c>
      <c r="C209" s="762">
        <v>1</v>
      </c>
      <c r="D209" s="1101">
        <v>750</v>
      </c>
      <c r="E209" s="666">
        <v>103</v>
      </c>
      <c r="F209" s="741" t="s">
        <v>107</v>
      </c>
      <c r="G209" s="760" t="s">
        <v>274</v>
      </c>
      <c r="H209" s="576">
        <v>8181.1</v>
      </c>
      <c r="I209" s="576">
        <v>10000</v>
      </c>
      <c r="J209" s="576">
        <v>5668.12</v>
      </c>
      <c r="K209" s="579">
        <f t="shared" si="74"/>
        <v>4331.88</v>
      </c>
      <c r="L209" s="576">
        <v>10000</v>
      </c>
      <c r="M209" s="1162">
        <v>3285.12</v>
      </c>
      <c r="N209" s="618">
        <v>10000</v>
      </c>
      <c r="O209" s="1067">
        <f t="shared" si="75"/>
        <v>0</v>
      </c>
      <c r="P209" s="576">
        <v>10000</v>
      </c>
      <c r="Q209" s="618"/>
      <c r="R209" s="576">
        <v>10000</v>
      </c>
      <c r="S209" s="621"/>
      <c r="T209" s="1493">
        <f t="shared" si="72"/>
        <v>18181.1</v>
      </c>
      <c r="V209" s="630">
        <f t="shared" si="73"/>
      </c>
    </row>
    <row r="210" spans="1:22" s="617" customFormat="1" ht="27.75" customHeight="1">
      <c r="A210" s="761">
        <v>10</v>
      </c>
      <c r="B210" s="764">
        <v>5</v>
      </c>
      <c r="C210" s="762">
        <v>1</v>
      </c>
      <c r="D210" s="1101">
        <v>760</v>
      </c>
      <c r="E210" s="776">
        <v>107</v>
      </c>
      <c r="F210" s="740" t="s">
        <v>123</v>
      </c>
      <c r="G210" s="759" t="s">
        <v>332</v>
      </c>
      <c r="H210" s="576"/>
      <c r="I210" s="576">
        <v>13535</v>
      </c>
      <c r="J210" s="576">
        <v>13535</v>
      </c>
      <c r="K210" s="579">
        <f t="shared" si="74"/>
        <v>0</v>
      </c>
      <c r="L210" s="576">
        <v>13535</v>
      </c>
      <c r="M210" s="576"/>
      <c r="N210" s="618">
        <v>11796</v>
      </c>
      <c r="O210" s="1067">
        <f t="shared" si="75"/>
        <v>-1739</v>
      </c>
      <c r="P210" s="576">
        <v>9986</v>
      </c>
      <c r="Q210" s="618"/>
      <c r="R210" s="576">
        <v>8099</v>
      </c>
      <c r="S210" s="621"/>
      <c r="T210" s="1493">
        <f t="shared" si="72"/>
        <v>11796</v>
      </c>
      <c r="V210" s="630">
        <f t="shared" si="73"/>
      </c>
    </row>
    <row r="211" spans="1:22" s="617" customFormat="1" ht="27.75" customHeight="1">
      <c r="A211" s="626">
        <v>10</v>
      </c>
      <c r="B211" s="766">
        <v>5</v>
      </c>
      <c r="C211" s="627">
        <v>1</v>
      </c>
      <c r="D211" s="1104">
        <v>930</v>
      </c>
      <c r="E211" s="1099">
        <v>107</v>
      </c>
      <c r="F211" s="740" t="s">
        <v>123</v>
      </c>
      <c r="G211" s="759" t="s">
        <v>332</v>
      </c>
      <c r="H211" s="577"/>
      <c r="I211" s="577">
        <v>1070</v>
      </c>
      <c r="J211" s="577">
        <v>1070</v>
      </c>
      <c r="K211" s="579">
        <f t="shared" si="74"/>
        <v>0</v>
      </c>
      <c r="L211" s="577">
        <v>1070</v>
      </c>
      <c r="M211" s="577"/>
      <c r="N211" s="619">
        <v>945</v>
      </c>
      <c r="O211" s="1067">
        <f t="shared" si="75"/>
        <v>-125</v>
      </c>
      <c r="P211" s="577">
        <v>822</v>
      </c>
      <c r="Q211" s="639"/>
      <c r="R211" s="577">
        <v>694</v>
      </c>
      <c r="S211" s="640"/>
      <c r="T211" s="1498">
        <f t="shared" si="72"/>
        <v>945</v>
      </c>
      <c r="V211" s="630">
        <f t="shared" si="73"/>
      </c>
    </row>
    <row r="212" spans="1:22" s="617" customFormat="1" ht="27.75" customHeight="1" thickBot="1">
      <c r="A212" s="1276" t="s">
        <v>63</v>
      </c>
      <c r="B212" s="1277"/>
      <c r="C212" s="1277"/>
      <c r="D212" s="1277"/>
      <c r="E212" s="1277"/>
      <c r="F212" s="1277"/>
      <c r="G212" s="1278"/>
      <c r="H212" s="1486">
        <f aca="true" t="shared" si="76" ref="H212:T212">SUM(H199:H211)</f>
        <v>69307.88</v>
      </c>
      <c r="I212" s="580">
        <f t="shared" si="76"/>
        <v>183905</v>
      </c>
      <c r="J212" s="580">
        <f t="shared" si="76"/>
        <v>147609.91999999998</v>
      </c>
      <c r="K212" s="580">
        <f t="shared" si="76"/>
        <v>39601.85999999999</v>
      </c>
      <c r="L212" s="580">
        <f t="shared" si="76"/>
        <v>187211.78</v>
      </c>
      <c r="M212" s="580">
        <f t="shared" si="76"/>
        <v>56035.12</v>
      </c>
      <c r="N212" s="580">
        <f t="shared" si="76"/>
        <v>176741</v>
      </c>
      <c r="O212" s="580">
        <f t="shared" si="76"/>
        <v>-7164</v>
      </c>
      <c r="P212" s="580">
        <f t="shared" si="76"/>
        <v>174808</v>
      </c>
      <c r="Q212" s="612">
        <f t="shared" si="76"/>
        <v>0</v>
      </c>
      <c r="R212" s="612">
        <f t="shared" si="76"/>
        <v>172793</v>
      </c>
      <c r="S212" s="612">
        <f t="shared" si="76"/>
        <v>0</v>
      </c>
      <c r="T212" s="613">
        <f t="shared" si="76"/>
        <v>246048.88</v>
      </c>
      <c r="V212" s="630">
        <f t="shared" si="73"/>
      </c>
    </row>
    <row r="213" spans="1:26" s="686" customFormat="1" ht="21" customHeight="1" thickBot="1">
      <c r="A213" s="1262" t="s">
        <v>65</v>
      </c>
      <c r="B213" s="1263"/>
      <c r="C213" s="1263"/>
      <c r="D213" s="1263"/>
      <c r="E213" s="1263"/>
      <c r="F213" s="1263"/>
      <c r="G213" s="1264"/>
      <c r="H213" s="1489">
        <f>H212</f>
        <v>69307.88</v>
      </c>
      <c r="I213" s="586">
        <f aca="true" t="shared" si="77" ref="I213:O213">I212</f>
        <v>183905</v>
      </c>
      <c r="J213" s="586">
        <f t="shared" si="77"/>
        <v>147609.91999999998</v>
      </c>
      <c r="K213" s="586">
        <f t="shared" si="77"/>
        <v>39601.85999999999</v>
      </c>
      <c r="L213" s="586">
        <f t="shared" si="77"/>
        <v>187211.78</v>
      </c>
      <c r="M213" s="586">
        <f t="shared" si="77"/>
        <v>56035.12</v>
      </c>
      <c r="N213" s="586">
        <f t="shared" si="77"/>
        <v>176741</v>
      </c>
      <c r="O213" s="586">
        <f t="shared" si="77"/>
        <v>-7164</v>
      </c>
      <c r="P213" s="586">
        <f>P212</f>
        <v>174808</v>
      </c>
      <c r="Q213" s="586">
        <f>Q212</f>
        <v>0</v>
      </c>
      <c r="R213" s="586">
        <f>R212</f>
        <v>172793</v>
      </c>
      <c r="S213" s="586">
        <f>S212</f>
        <v>0</v>
      </c>
      <c r="T213" s="586">
        <f>T212</f>
        <v>246048.88</v>
      </c>
      <c r="V213" s="630">
        <f t="shared" si="73"/>
      </c>
      <c r="X213" s="687"/>
      <c r="Z213" s="687"/>
    </row>
    <row r="214" spans="1:22" s="686" customFormat="1" ht="21" customHeight="1" thickBot="1">
      <c r="A214" s="1262" t="s">
        <v>66</v>
      </c>
      <c r="B214" s="1263"/>
      <c r="C214" s="1263"/>
      <c r="D214" s="1263"/>
      <c r="E214" s="1263"/>
      <c r="F214" s="1263"/>
      <c r="G214" s="1264"/>
      <c r="H214" s="1279"/>
      <c r="I214" s="1280"/>
      <c r="J214" s="1280"/>
      <c r="K214" s="1280"/>
      <c r="L214" s="1280"/>
      <c r="M214" s="1280"/>
      <c r="N214" s="1280"/>
      <c r="O214" s="1280"/>
      <c r="P214" s="1280"/>
      <c r="Q214" s="1280"/>
      <c r="R214" s="1280"/>
      <c r="S214" s="1280"/>
      <c r="T214" s="1280"/>
      <c r="V214" s="630">
        <f t="shared" si="73"/>
      </c>
    </row>
    <row r="215" spans="1:22" s="617" customFormat="1" ht="27.75" customHeight="1">
      <c r="A215" s="756">
        <v>11</v>
      </c>
      <c r="B215" s="758">
        <v>1</v>
      </c>
      <c r="C215" s="757">
        <v>1</v>
      </c>
      <c r="D215" s="1105">
        <v>780</v>
      </c>
      <c r="E215" s="776">
        <v>104</v>
      </c>
      <c r="F215" s="740" t="s">
        <v>99</v>
      </c>
      <c r="G215" s="759" t="s">
        <v>277</v>
      </c>
      <c r="H215" s="576">
        <v>300</v>
      </c>
      <c r="I215" s="576">
        <v>2500</v>
      </c>
      <c r="J215" s="576">
        <v>2000</v>
      </c>
      <c r="K215" s="576">
        <f>L215-J215</f>
        <v>500</v>
      </c>
      <c r="L215" s="576">
        <v>2500</v>
      </c>
      <c r="M215" s="576"/>
      <c r="N215" s="576">
        <v>2500</v>
      </c>
      <c r="O215" s="618">
        <f>N215-I215</f>
        <v>0</v>
      </c>
      <c r="P215" s="618">
        <v>2500</v>
      </c>
      <c r="Q215" s="618"/>
      <c r="R215" s="575">
        <v>2500</v>
      </c>
      <c r="S215" s="621"/>
      <c r="T215" s="1504">
        <f>H215+N215</f>
        <v>2800</v>
      </c>
      <c r="V215" s="630">
        <f t="shared" si="73"/>
      </c>
    </row>
    <row r="216" spans="1:22" s="617" customFormat="1" ht="27.75" customHeight="1">
      <c r="A216" s="756">
        <v>11</v>
      </c>
      <c r="B216" s="758">
        <v>1</v>
      </c>
      <c r="C216" s="757"/>
      <c r="D216" s="779"/>
      <c r="E216" s="757"/>
      <c r="F216" s="740"/>
      <c r="G216" s="759"/>
      <c r="H216" s="576"/>
      <c r="I216" s="576"/>
      <c r="J216" s="576"/>
      <c r="K216" s="576"/>
      <c r="L216" s="576"/>
      <c r="M216" s="576"/>
      <c r="N216" s="576"/>
      <c r="O216" s="618"/>
      <c r="P216" s="618"/>
      <c r="Q216" s="618"/>
      <c r="R216" s="575"/>
      <c r="S216" s="621"/>
      <c r="T216" s="638">
        <f>H216+N216</f>
        <v>0</v>
      </c>
      <c r="V216" s="630">
        <f t="shared" si="73"/>
      </c>
    </row>
    <row r="217" spans="1:22" s="617" customFormat="1" ht="27.75" customHeight="1">
      <c r="A217" s="756">
        <v>11</v>
      </c>
      <c r="B217" s="758">
        <v>1</v>
      </c>
      <c r="C217" s="757"/>
      <c r="D217" s="779"/>
      <c r="E217" s="757"/>
      <c r="F217" s="740"/>
      <c r="G217" s="759"/>
      <c r="H217" s="576"/>
      <c r="I217" s="576"/>
      <c r="J217" s="576"/>
      <c r="K217" s="576"/>
      <c r="L217" s="576"/>
      <c r="M217" s="576"/>
      <c r="N217" s="576"/>
      <c r="O217" s="618"/>
      <c r="P217" s="618"/>
      <c r="Q217" s="618"/>
      <c r="R217" s="575"/>
      <c r="S217" s="621"/>
      <c r="T217" s="635">
        <f>H217+N217</f>
        <v>0</v>
      </c>
      <c r="V217" s="630">
        <f t="shared" si="73"/>
      </c>
    </row>
    <row r="218" spans="1:22" s="617" customFormat="1" ht="27.75" customHeight="1" thickBot="1">
      <c r="A218" s="1274" t="s">
        <v>64</v>
      </c>
      <c r="B218" s="1275"/>
      <c r="C218" s="1275"/>
      <c r="D218" s="1275"/>
      <c r="E218" s="1275"/>
      <c r="F218" s="1275"/>
      <c r="G218" s="1275"/>
      <c r="H218" s="1486">
        <f aca="true" t="shared" si="78" ref="H218:T218">SUM(H215:H215)</f>
        <v>300</v>
      </c>
      <c r="I218" s="580">
        <f t="shared" si="78"/>
        <v>2500</v>
      </c>
      <c r="J218" s="580">
        <f t="shared" si="78"/>
        <v>2000</v>
      </c>
      <c r="K218" s="580">
        <f t="shared" si="78"/>
        <v>500</v>
      </c>
      <c r="L218" s="580">
        <f t="shared" si="78"/>
        <v>2500</v>
      </c>
      <c r="M218" s="580">
        <f t="shared" si="78"/>
        <v>0</v>
      </c>
      <c r="N218" s="580">
        <f t="shared" si="78"/>
        <v>2500</v>
      </c>
      <c r="O218" s="580">
        <f t="shared" si="78"/>
        <v>0</v>
      </c>
      <c r="P218" s="580">
        <f t="shared" si="78"/>
        <v>2500</v>
      </c>
      <c r="Q218" s="612">
        <f t="shared" si="78"/>
        <v>0</v>
      </c>
      <c r="R218" s="612">
        <f t="shared" si="78"/>
        <v>2500</v>
      </c>
      <c r="S218" s="612">
        <f t="shared" si="78"/>
        <v>0</v>
      </c>
      <c r="T218" s="613">
        <f t="shared" si="78"/>
        <v>2800</v>
      </c>
      <c r="V218" s="630">
        <f t="shared" si="73"/>
      </c>
    </row>
    <row r="219" spans="1:24" s="686" customFormat="1" ht="21" customHeight="1" thickBot="1">
      <c r="A219" s="1262" t="s">
        <v>67</v>
      </c>
      <c r="B219" s="1263"/>
      <c r="C219" s="1263"/>
      <c r="D219" s="1263"/>
      <c r="E219" s="1263"/>
      <c r="F219" s="1263"/>
      <c r="G219" s="1264"/>
      <c r="H219" s="1489">
        <f>H218</f>
        <v>300</v>
      </c>
      <c r="I219" s="586">
        <f aca="true" t="shared" si="79" ref="I219:O219">I218</f>
        <v>2500</v>
      </c>
      <c r="J219" s="586">
        <f t="shared" si="79"/>
        <v>2000</v>
      </c>
      <c r="K219" s="586">
        <f t="shared" si="79"/>
        <v>500</v>
      </c>
      <c r="L219" s="586">
        <f t="shared" si="79"/>
        <v>2500</v>
      </c>
      <c r="M219" s="586">
        <f t="shared" si="79"/>
        <v>0</v>
      </c>
      <c r="N219" s="586">
        <f t="shared" si="79"/>
        <v>2500</v>
      </c>
      <c r="O219" s="586">
        <f t="shared" si="79"/>
        <v>0</v>
      </c>
      <c r="P219" s="586">
        <f>P218</f>
        <v>2500</v>
      </c>
      <c r="Q219" s="586">
        <f>Q218</f>
        <v>0</v>
      </c>
      <c r="R219" s="586">
        <f>R218</f>
        <v>2500</v>
      </c>
      <c r="S219" s="586">
        <f>S218</f>
        <v>0</v>
      </c>
      <c r="T219" s="586">
        <f>T218</f>
        <v>2800</v>
      </c>
      <c r="V219" s="630">
        <f t="shared" si="73"/>
      </c>
      <c r="X219" s="687"/>
    </row>
    <row r="220" spans="1:22" s="686" customFormat="1" ht="21" customHeight="1" thickBot="1">
      <c r="A220" s="1262" t="s">
        <v>68</v>
      </c>
      <c r="B220" s="1263"/>
      <c r="C220" s="1263"/>
      <c r="D220" s="1263"/>
      <c r="E220" s="1263"/>
      <c r="F220" s="1263"/>
      <c r="G220" s="1264"/>
      <c r="H220" s="1279"/>
      <c r="I220" s="1280"/>
      <c r="J220" s="1280"/>
      <c r="K220" s="1280"/>
      <c r="L220" s="1280"/>
      <c r="M220" s="1280"/>
      <c r="N220" s="1280"/>
      <c r="O220" s="1280"/>
      <c r="P220" s="1280"/>
      <c r="Q220" s="1280"/>
      <c r="R220" s="1280"/>
      <c r="S220" s="1280"/>
      <c r="T220" s="1280"/>
      <c r="V220" s="630">
        <f t="shared" si="73"/>
      </c>
    </row>
    <row r="221" spans="1:22" s="617" customFormat="1" ht="27.75" customHeight="1">
      <c r="A221" s="790">
        <v>12</v>
      </c>
      <c r="B221" s="774">
        <v>1</v>
      </c>
      <c r="C221" s="769">
        <v>1</v>
      </c>
      <c r="D221" s="1108">
        <v>850</v>
      </c>
      <c r="E221" s="1099">
        <v>104</v>
      </c>
      <c r="F221" s="770" t="s">
        <v>113</v>
      </c>
      <c r="G221" s="771" t="s">
        <v>154</v>
      </c>
      <c r="H221" s="588">
        <v>2000</v>
      </c>
      <c r="I221" s="588"/>
      <c r="J221" s="588"/>
      <c r="K221" s="588"/>
      <c r="L221" s="588"/>
      <c r="M221" s="588"/>
      <c r="N221" s="588"/>
      <c r="O221" s="739"/>
      <c r="P221" s="739"/>
      <c r="Q221" s="748"/>
      <c r="R221" s="588"/>
      <c r="S221" s="747"/>
      <c r="T221" s="1501">
        <f>H221+N221</f>
        <v>2000</v>
      </c>
      <c r="V221" s="630">
        <f t="shared" si="73"/>
      </c>
    </row>
    <row r="222" spans="1:22" s="617" customFormat="1" ht="27.75" customHeight="1">
      <c r="A222" s="761">
        <v>12</v>
      </c>
      <c r="B222" s="764">
        <v>1</v>
      </c>
      <c r="C222" s="762"/>
      <c r="D222" s="1101"/>
      <c r="E222" s="666"/>
      <c r="F222" s="741"/>
      <c r="G222" s="760"/>
      <c r="H222" s="576"/>
      <c r="I222" s="576"/>
      <c r="J222" s="576"/>
      <c r="K222" s="576"/>
      <c r="L222" s="576"/>
      <c r="M222" s="576"/>
      <c r="N222" s="576"/>
      <c r="O222" s="618"/>
      <c r="P222" s="618"/>
      <c r="Q222" s="618"/>
      <c r="R222" s="576"/>
      <c r="S222" s="621"/>
      <c r="T222" s="622">
        <f>H222+N222</f>
        <v>0</v>
      </c>
      <c r="V222" s="630">
        <f t="shared" si="73"/>
      </c>
    </row>
    <row r="223" spans="1:22" s="617" customFormat="1" ht="27.75" customHeight="1">
      <c r="A223" s="790">
        <v>12</v>
      </c>
      <c r="B223" s="774">
        <v>1</v>
      </c>
      <c r="C223" s="769"/>
      <c r="D223" s="1108"/>
      <c r="E223" s="1099"/>
      <c r="F223" s="770"/>
      <c r="G223" s="771"/>
      <c r="H223" s="588"/>
      <c r="I223" s="588"/>
      <c r="J223" s="588"/>
      <c r="K223" s="588"/>
      <c r="L223" s="588"/>
      <c r="M223" s="588"/>
      <c r="N223" s="588"/>
      <c r="O223" s="739"/>
      <c r="P223" s="739"/>
      <c r="Q223" s="746"/>
      <c r="R223" s="588"/>
      <c r="S223" s="747"/>
      <c r="T223" s="622">
        <f>H223+N223</f>
        <v>0</v>
      </c>
      <c r="V223" s="630">
        <f t="shared" si="73"/>
      </c>
    </row>
    <row r="224" spans="1:22" s="617" customFormat="1" ht="27.75" customHeight="1">
      <c r="A224" s="1276" t="s">
        <v>70</v>
      </c>
      <c r="B224" s="1277"/>
      <c r="C224" s="1277"/>
      <c r="D224" s="1277"/>
      <c r="E224" s="1277"/>
      <c r="F224" s="1277"/>
      <c r="G224" s="1278"/>
      <c r="H224" s="1486">
        <f aca="true" t="shared" si="80" ref="H224:Q224">SUM(H221)</f>
        <v>2000</v>
      </c>
      <c r="I224" s="580">
        <f t="shared" si="80"/>
        <v>0</v>
      </c>
      <c r="J224" s="580">
        <f t="shared" si="80"/>
        <v>0</v>
      </c>
      <c r="K224" s="580">
        <f t="shared" si="80"/>
        <v>0</v>
      </c>
      <c r="L224" s="580">
        <f t="shared" si="80"/>
        <v>0</v>
      </c>
      <c r="M224" s="580">
        <f t="shared" si="80"/>
        <v>0</v>
      </c>
      <c r="N224" s="580">
        <f t="shared" si="80"/>
        <v>0</v>
      </c>
      <c r="O224" s="580">
        <f t="shared" si="80"/>
        <v>0</v>
      </c>
      <c r="P224" s="580">
        <f t="shared" si="80"/>
        <v>0</v>
      </c>
      <c r="Q224" s="612">
        <f t="shared" si="80"/>
        <v>0</v>
      </c>
      <c r="R224" s="612">
        <f>SUM(R221)</f>
        <v>0</v>
      </c>
      <c r="S224" s="612">
        <f>SUM(S221)</f>
        <v>0</v>
      </c>
      <c r="T224" s="613">
        <f>SUM(T221)</f>
        <v>2000</v>
      </c>
      <c r="V224" s="630">
        <f t="shared" si="73"/>
      </c>
    </row>
    <row r="225" spans="1:22" s="617" customFormat="1" ht="27.75" customHeight="1">
      <c r="A225" s="756">
        <v>12</v>
      </c>
      <c r="B225" s="758">
        <v>3</v>
      </c>
      <c r="C225" s="757">
        <v>1</v>
      </c>
      <c r="D225" s="1105">
        <v>860</v>
      </c>
      <c r="E225" s="776">
        <v>103</v>
      </c>
      <c r="F225" s="740" t="s">
        <v>107</v>
      </c>
      <c r="G225" s="759" t="s">
        <v>278</v>
      </c>
      <c r="H225" s="579">
        <v>15846.42</v>
      </c>
      <c r="I225" s="579">
        <v>20000</v>
      </c>
      <c r="J225" s="579">
        <v>25000</v>
      </c>
      <c r="K225" s="579">
        <f>L225-J225</f>
        <v>0</v>
      </c>
      <c r="L225" s="574">
        <v>25000</v>
      </c>
      <c r="M225" s="579"/>
      <c r="N225" s="579">
        <v>18000</v>
      </c>
      <c r="O225" s="738">
        <f>N225-I225</f>
        <v>-2000</v>
      </c>
      <c r="P225" s="738">
        <v>18000</v>
      </c>
      <c r="Q225" s="623"/>
      <c r="R225" s="579">
        <v>18000</v>
      </c>
      <c r="S225" s="624"/>
      <c r="T225" s="1497">
        <f>H225+N225</f>
        <v>33846.42</v>
      </c>
      <c r="V225" s="630">
        <f t="shared" si="73"/>
      </c>
    </row>
    <row r="226" spans="1:22" s="617" customFormat="1" ht="27.75" customHeight="1">
      <c r="A226" s="756">
        <v>12</v>
      </c>
      <c r="B226" s="758">
        <v>3</v>
      </c>
      <c r="C226" s="757">
        <v>1</v>
      </c>
      <c r="D226" s="1105" t="s">
        <v>644</v>
      </c>
      <c r="E226" s="776">
        <v>103</v>
      </c>
      <c r="F226" s="740" t="s">
        <v>877</v>
      </c>
      <c r="G226" s="787" t="s">
        <v>1133</v>
      </c>
      <c r="H226" s="579">
        <v>5519.36</v>
      </c>
      <c r="I226" s="579">
        <v>40000</v>
      </c>
      <c r="J226" s="579">
        <v>25470.7</v>
      </c>
      <c r="K226" s="579">
        <f>L226-J226</f>
        <v>14529.3</v>
      </c>
      <c r="L226" s="574">
        <v>40000</v>
      </c>
      <c r="M226" s="579"/>
      <c r="N226" s="574">
        <f>ENTRATA!K55</f>
        <v>40000</v>
      </c>
      <c r="O226" s="574">
        <f>N226-I226</f>
        <v>0</v>
      </c>
      <c r="P226" s="574">
        <f>ENTRATA!M55</f>
        <v>0</v>
      </c>
      <c r="Q226" s="574"/>
      <c r="R226" s="574">
        <f>ENTRATA!N55</f>
        <v>0</v>
      </c>
      <c r="S226" s="624"/>
      <c r="T226" s="1497">
        <f>H226+N226</f>
        <v>45519.36</v>
      </c>
      <c r="V226" s="630">
        <f t="shared" si="73"/>
      </c>
    </row>
    <row r="227" spans="1:22" s="617" customFormat="1" ht="27.75" customHeight="1">
      <c r="A227" s="761">
        <v>12</v>
      </c>
      <c r="B227" s="764">
        <v>3</v>
      </c>
      <c r="C227" s="762">
        <v>1</v>
      </c>
      <c r="D227" s="1101">
        <v>861</v>
      </c>
      <c r="E227" s="666">
        <v>103</v>
      </c>
      <c r="F227" s="741" t="s">
        <v>107</v>
      </c>
      <c r="G227" s="760" t="s">
        <v>279</v>
      </c>
      <c r="H227" s="576">
        <v>5316.67</v>
      </c>
      <c r="I227" s="576">
        <v>10000</v>
      </c>
      <c r="J227" s="576">
        <v>7874.06</v>
      </c>
      <c r="K227" s="579">
        <f>L227-J227</f>
        <v>2125.9399999999996</v>
      </c>
      <c r="L227" s="575">
        <v>10000</v>
      </c>
      <c r="M227" s="576"/>
      <c r="N227" s="576">
        <v>7000</v>
      </c>
      <c r="O227" s="574">
        <f>N227-I227</f>
        <v>-3000</v>
      </c>
      <c r="P227" s="618">
        <v>7000</v>
      </c>
      <c r="Q227" s="618"/>
      <c r="R227" s="576">
        <v>7000</v>
      </c>
      <c r="S227" s="621"/>
      <c r="T227" s="1494">
        <f>H227+N227</f>
        <v>12316.67</v>
      </c>
      <c r="V227" s="630">
        <f t="shared" si="73"/>
      </c>
    </row>
    <row r="228" spans="1:22" s="617" customFormat="1" ht="43.5" customHeight="1">
      <c r="A228" s="761">
        <v>12</v>
      </c>
      <c r="B228" s="764">
        <v>3</v>
      </c>
      <c r="C228" s="762">
        <v>1</v>
      </c>
      <c r="D228" s="1101">
        <v>864</v>
      </c>
      <c r="E228" s="666">
        <v>103</v>
      </c>
      <c r="F228" s="741" t="s">
        <v>107</v>
      </c>
      <c r="G228" s="629" t="s">
        <v>1174</v>
      </c>
      <c r="H228" s="577">
        <v>2223.88</v>
      </c>
      <c r="I228" s="577"/>
      <c r="J228" s="577">
        <v>0</v>
      </c>
      <c r="K228" s="579">
        <f>L228-J228</f>
        <v>0</v>
      </c>
      <c r="L228" s="587">
        <v>0</v>
      </c>
      <c r="M228" s="1161">
        <v>39450.57</v>
      </c>
      <c r="N228" s="577"/>
      <c r="O228" s="574">
        <f>N228-I228</f>
        <v>0</v>
      </c>
      <c r="P228" s="619"/>
      <c r="Q228" s="619"/>
      <c r="R228" s="577"/>
      <c r="S228" s="640"/>
      <c r="T228" s="1494">
        <f>H228+N228</f>
        <v>2223.88</v>
      </c>
      <c r="V228" s="630">
        <f t="shared" si="73"/>
      </c>
    </row>
    <row r="229" spans="1:22" s="617" customFormat="1" ht="48.75" customHeight="1">
      <c r="A229" s="626">
        <v>12</v>
      </c>
      <c r="B229" s="766">
        <v>3</v>
      </c>
      <c r="C229" s="627">
        <v>1</v>
      </c>
      <c r="D229" s="1104">
        <v>892</v>
      </c>
      <c r="E229" s="665">
        <v>104</v>
      </c>
      <c r="F229" s="741" t="s">
        <v>124</v>
      </c>
      <c r="G229" s="629" t="s">
        <v>1175</v>
      </c>
      <c r="H229" s="577"/>
      <c r="I229" s="577">
        <v>50000</v>
      </c>
      <c r="J229" s="577">
        <v>41880</v>
      </c>
      <c r="K229" s="579">
        <f>L229-J229</f>
        <v>8120</v>
      </c>
      <c r="L229" s="587">
        <v>50000</v>
      </c>
      <c r="M229" s="577"/>
      <c r="N229" s="577">
        <f>ENTRATA!K50</f>
        <v>50000</v>
      </c>
      <c r="O229" s="574">
        <f>N229-I229</f>
        <v>0</v>
      </c>
      <c r="P229" s="577">
        <f>ENTRATA!M50</f>
        <v>50000</v>
      </c>
      <c r="Q229" s="577"/>
      <c r="R229" s="577">
        <f>ENTRATA!N50</f>
        <v>50000</v>
      </c>
      <c r="S229" s="640"/>
      <c r="T229" s="1497">
        <f>H229+N229</f>
        <v>50000</v>
      </c>
      <c r="V229" s="630">
        <f t="shared" si="73"/>
      </c>
    </row>
    <row r="230" spans="1:22" s="617" customFormat="1" ht="27.75" customHeight="1">
      <c r="A230" s="1276" t="s">
        <v>71</v>
      </c>
      <c r="B230" s="1277"/>
      <c r="C230" s="1277"/>
      <c r="D230" s="1277"/>
      <c r="E230" s="1277"/>
      <c r="F230" s="1277"/>
      <c r="G230" s="1278"/>
      <c r="H230" s="1486">
        <f aca="true" t="shared" si="81" ref="H230:P230">SUM(H225:H229)</f>
        <v>28906.329999999998</v>
      </c>
      <c r="I230" s="580">
        <f t="shared" si="81"/>
        <v>120000</v>
      </c>
      <c r="J230" s="580">
        <f t="shared" si="81"/>
        <v>100224.76</v>
      </c>
      <c r="K230" s="580">
        <f t="shared" si="81"/>
        <v>24775.239999999998</v>
      </c>
      <c r="L230" s="580">
        <f t="shared" si="81"/>
        <v>125000</v>
      </c>
      <c r="M230" s="580">
        <f t="shared" si="81"/>
        <v>39450.57</v>
      </c>
      <c r="N230" s="580">
        <f t="shared" si="81"/>
        <v>115000</v>
      </c>
      <c r="O230" s="580">
        <f t="shared" si="81"/>
        <v>-5000</v>
      </c>
      <c r="P230" s="612">
        <f t="shared" si="81"/>
        <v>75000</v>
      </c>
      <c r="Q230" s="612">
        <f>SUM(Q225:Q229)</f>
        <v>0</v>
      </c>
      <c r="R230" s="612">
        <f>SUM(R225:R229)</f>
        <v>75000</v>
      </c>
      <c r="S230" s="612">
        <f>SUM(S225:S229)</f>
        <v>0</v>
      </c>
      <c r="T230" s="613">
        <f>SUM(T225:T229)</f>
        <v>143906.33000000002</v>
      </c>
      <c r="V230" s="630">
        <f t="shared" si="73"/>
      </c>
    </row>
    <row r="231" spans="1:22" s="617" customFormat="1" ht="27.75" customHeight="1">
      <c r="A231" s="796">
        <v>12</v>
      </c>
      <c r="B231" s="797">
        <v>4</v>
      </c>
      <c r="C231" s="798">
        <v>1</v>
      </c>
      <c r="D231" s="799"/>
      <c r="E231" s="798"/>
      <c r="F231" s="800"/>
      <c r="G231" s="801"/>
      <c r="H231" s="589"/>
      <c r="I231" s="589"/>
      <c r="J231" s="589"/>
      <c r="K231" s="589"/>
      <c r="L231" s="589"/>
      <c r="M231" s="589"/>
      <c r="N231" s="589"/>
      <c r="O231" s="623"/>
      <c r="P231" s="623"/>
      <c r="Q231" s="623"/>
      <c r="R231" s="589"/>
      <c r="S231" s="802"/>
      <c r="T231" s="676"/>
      <c r="V231" s="630">
        <f t="shared" si="73"/>
      </c>
    </row>
    <row r="232" spans="1:22" s="617" customFormat="1" ht="27.75" customHeight="1">
      <c r="A232" s="790">
        <v>12</v>
      </c>
      <c r="B232" s="774">
        <v>4</v>
      </c>
      <c r="C232" s="769">
        <v>1</v>
      </c>
      <c r="D232" s="795"/>
      <c r="E232" s="769"/>
      <c r="F232" s="770"/>
      <c r="G232" s="771"/>
      <c r="H232" s="588"/>
      <c r="I232" s="588"/>
      <c r="J232" s="588"/>
      <c r="K232" s="588"/>
      <c r="L232" s="588"/>
      <c r="M232" s="588"/>
      <c r="N232" s="588"/>
      <c r="O232" s="739"/>
      <c r="P232" s="739"/>
      <c r="Q232" s="746"/>
      <c r="R232" s="588"/>
      <c r="S232" s="747"/>
      <c r="T232" s="675"/>
      <c r="V232" s="630">
        <f t="shared" si="73"/>
      </c>
    </row>
    <row r="233" spans="1:22" s="617" customFormat="1" ht="27.75" customHeight="1">
      <c r="A233" s="1274" t="s">
        <v>334</v>
      </c>
      <c r="B233" s="1275"/>
      <c r="C233" s="1275"/>
      <c r="D233" s="1275"/>
      <c r="E233" s="1275"/>
      <c r="F233" s="1275"/>
      <c r="G233" s="1275"/>
      <c r="H233" s="580">
        <f aca="true" t="shared" si="82" ref="H233:Q233">SUM(H231)</f>
        <v>0</v>
      </c>
      <c r="I233" s="580">
        <f t="shared" si="82"/>
        <v>0</v>
      </c>
      <c r="J233" s="580">
        <f t="shared" si="82"/>
        <v>0</v>
      </c>
      <c r="K233" s="580">
        <f t="shared" si="82"/>
        <v>0</v>
      </c>
      <c r="L233" s="580">
        <f t="shared" si="82"/>
        <v>0</v>
      </c>
      <c r="M233" s="580">
        <f t="shared" si="82"/>
        <v>0</v>
      </c>
      <c r="N233" s="580">
        <f t="shared" si="82"/>
        <v>0</v>
      </c>
      <c r="O233" s="580">
        <f t="shared" si="82"/>
        <v>0</v>
      </c>
      <c r="P233" s="580">
        <f t="shared" si="82"/>
        <v>0</v>
      </c>
      <c r="Q233" s="612">
        <f t="shared" si="82"/>
        <v>0</v>
      </c>
      <c r="R233" s="612">
        <f>SUM(R231)</f>
        <v>0</v>
      </c>
      <c r="S233" s="612">
        <f>SUM(S231)</f>
        <v>0</v>
      </c>
      <c r="T233" s="613">
        <f>SUM(T231)</f>
        <v>0</v>
      </c>
      <c r="V233" s="630">
        <f t="shared" si="73"/>
      </c>
    </row>
    <row r="234" spans="1:22" s="617" customFormat="1" ht="27.75" customHeight="1">
      <c r="A234" s="756">
        <v>12</v>
      </c>
      <c r="B234" s="758">
        <v>5</v>
      </c>
      <c r="C234" s="757">
        <v>1</v>
      </c>
      <c r="D234" s="1105">
        <v>865</v>
      </c>
      <c r="E234" s="776">
        <v>103</v>
      </c>
      <c r="F234" s="740" t="s">
        <v>875</v>
      </c>
      <c r="G234" s="787" t="s">
        <v>626</v>
      </c>
      <c r="H234" s="574">
        <v>5611.28</v>
      </c>
      <c r="I234" s="579">
        <v>15000</v>
      </c>
      <c r="J234" s="579">
        <v>12968.29</v>
      </c>
      <c r="K234" s="579">
        <f>L234-J234</f>
        <v>2031.7099999999991</v>
      </c>
      <c r="L234" s="574">
        <v>15000</v>
      </c>
      <c r="M234" s="579"/>
      <c r="N234" s="579">
        <v>14000</v>
      </c>
      <c r="O234" s="738">
        <f>N234-I234</f>
        <v>-1000</v>
      </c>
      <c r="P234" s="738">
        <v>14000</v>
      </c>
      <c r="Q234" s="738"/>
      <c r="R234" s="579">
        <v>14000</v>
      </c>
      <c r="S234" s="624"/>
      <c r="T234" s="1497">
        <f>H234+N234</f>
        <v>19611.28</v>
      </c>
      <c r="V234" s="630">
        <f t="shared" si="73"/>
      </c>
    </row>
    <row r="235" spans="1:22" s="617" customFormat="1" ht="27.75" customHeight="1">
      <c r="A235" s="756">
        <v>12</v>
      </c>
      <c r="B235" s="758">
        <v>5</v>
      </c>
      <c r="C235" s="757">
        <v>1</v>
      </c>
      <c r="D235" s="1105" t="s">
        <v>645</v>
      </c>
      <c r="E235" s="776">
        <v>103</v>
      </c>
      <c r="F235" s="740" t="s">
        <v>875</v>
      </c>
      <c r="G235" s="787" t="s">
        <v>646</v>
      </c>
      <c r="H235" s="579">
        <v>6854.85</v>
      </c>
      <c r="I235" s="579">
        <v>29000</v>
      </c>
      <c r="J235" s="579">
        <v>21524.2</v>
      </c>
      <c r="K235" s="579">
        <f>L235-J235</f>
        <v>7475.799999999999</v>
      </c>
      <c r="L235" s="574">
        <v>29000</v>
      </c>
      <c r="M235" s="579"/>
      <c r="N235" s="579">
        <v>29000</v>
      </c>
      <c r="O235" s="738">
        <f>N235-I235</f>
        <v>0</v>
      </c>
      <c r="P235" s="738">
        <v>0</v>
      </c>
      <c r="Q235" s="738"/>
      <c r="R235" s="579">
        <v>0</v>
      </c>
      <c r="S235" s="624"/>
      <c r="T235" s="1497">
        <f>H235+N235</f>
        <v>35854.85</v>
      </c>
      <c r="V235" s="630">
        <f t="shared" si="73"/>
      </c>
    </row>
    <row r="236" spans="1:22" s="617" customFormat="1" ht="27.75" customHeight="1">
      <c r="A236" s="756">
        <v>12</v>
      </c>
      <c r="B236" s="758">
        <v>5</v>
      </c>
      <c r="C236" s="757">
        <v>1</v>
      </c>
      <c r="D236" s="1105">
        <v>885</v>
      </c>
      <c r="E236" s="776">
        <v>104</v>
      </c>
      <c r="F236" s="740" t="s">
        <v>124</v>
      </c>
      <c r="G236" s="787" t="s">
        <v>1009</v>
      </c>
      <c r="H236" s="579"/>
      <c r="I236" s="579"/>
      <c r="J236" s="579">
        <v>5461.75</v>
      </c>
      <c r="K236" s="579">
        <f>L236-J236</f>
        <v>0</v>
      </c>
      <c r="L236" s="574">
        <v>5461.75</v>
      </c>
      <c r="M236" s="579"/>
      <c r="N236" s="579"/>
      <c r="O236" s="738">
        <f>N236-I236</f>
        <v>0</v>
      </c>
      <c r="P236" s="738"/>
      <c r="Q236" s="738"/>
      <c r="R236" s="579"/>
      <c r="S236" s="624"/>
      <c r="T236" s="635">
        <f>H236+N236</f>
        <v>0</v>
      </c>
      <c r="V236" s="630">
        <f t="shared" si="73"/>
      </c>
    </row>
    <row r="237" spans="1:22" s="617" customFormat="1" ht="27.75" customHeight="1">
      <c r="A237" s="756">
        <v>12</v>
      </c>
      <c r="B237" s="758">
        <v>5</v>
      </c>
      <c r="C237" s="757">
        <v>1</v>
      </c>
      <c r="D237" s="1105">
        <v>895</v>
      </c>
      <c r="E237" s="776">
        <v>104</v>
      </c>
      <c r="F237" s="740" t="s">
        <v>878</v>
      </c>
      <c r="G237" s="787" t="s">
        <v>649</v>
      </c>
      <c r="H237" s="579">
        <v>5000</v>
      </c>
      <c r="I237" s="579">
        <v>2500</v>
      </c>
      <c r="J237" s="579">
        <v>0</v>
      </c>
      <c r="K237" s="579">
        <f>L237-J237</f>
        <v>2500</v>
      </c>
      <c r="L237" s="574">
        <v>2500</v>
      </c>
      <c r="M237" s="1165">
        <v>5000</v>
      </c>
      <c r="N237" s="579">
        <v>2500</v>
      </c>
      <c r="O237" s="738">
        <f>N237-I237</f>
        <v>0</v>
      </c>
      <c r="P237" s="738">
        <v>2500</v>
      </c>
      <c r="Q237" s="738"/>
      <c r="R237" s="579">
        <v>2500</v>
      </c>
      <c r="S237" s="624"/>
      <c r="T237" s="1494">
        <f>H237+N237</f>
        <v>7500</v>
      </c>
      <c r="V237" s="630">
        <f t="shared" si="73"/>
      </c>
    </row>
    <row r="238" spans="1:22" s="617" customFormat="1" ht="27.75" customHeight="1">
      <c r="A238" s="756">
        <v>12</v>
      </c>
      <c r="B238" s="758">
        <v>5</v>
      </c>
      <c r="C238" s="757">
        <v>1</v>
      </c>
      <c r="D238" s="1105">
        <v>896</v>
      </c>
      <c r="E238" s="776">
        <v>104</v>
      </c>
      <c r="F238" s="740" t="s">
        <v>124</v>
      </c>
      <c r="G238" s="787" t="s">
        <v>1099</v>
      </c>
      <c r="H238" s="579">
        <v>6532.18</v>
      </c>
      <c r="I238" s="579">
        <v>20000</v>
      </c>
      <c r="J238" s="579">
        <v>17310.3</v>
      </c>
      <c r="K238" s="579">
        <f>L238-J238</f>
        <v>2689.7000000000007</v>
      </c>
      <c r="L238" s="574">
        <v>20000</v>
      </c>
      <c r="M238" s="1165">
        <v>6300.5</v>
      </c>
      <c r="N238" s="579">
        <f>ENTRATA!K49</f>
        <v>20000</v>
      </c>
      <c r="O238" s="738">
        <f>N238-I238</f>
        <v>0</v>
      </c>
      <c r="P238" s="579">
        <f>ENTRATA!M49</f>
        <v>20000</v>
      </c>
      <c r="Q238" s="579"/>
      <c r="R238" s="579">
        <f>ENTRATA!N49</f>
        <v>20000</v>
      </c>
      <c r="S238" s="624"/>
      <c r="T238" s="1494">
        <f>H238+N238</f>
        <v>26532.18</v>
      </c>
      <c r="V238" s="630">
        <f t="shared" si="73"/>
      </c>
    </row>
    <row r="239" spans="1:22" s="617" customFormat="1" ht="27.75" customHeight="1">
      <c r="A239" s="1276" t="s">
        <v>335</v>
      </c>
      <c r="B239" s="1277"/>
      <c r="C239" s="1277"/>
      <c r="D239" s="1277"/>
      <c r="E239" s="1277"/>
      <c r="F239" s="1277"/>
      <c r="G239" s="1278"/>
      <c r="H239" s="1486">
        <f>SUM(H234:H238)</f>
        <v>23998.31</v>
      </c>
      <c r="I239" s="580">
        <f aca="true" t="shared" si="83" ref="I239:R239">SUM(I234:I238)</f>
        <v>66500</v>
      </c>
      <c r="J239" s="580">
        <f t="shared" si="83"/>
        <v>57264.54000000001</v>
      </c>
      <c r="K239" s="580">
        <f t="shared" si="83"/>
        <v>14697.21</v>
      </c>
      <c r="L239" s="580">
        <f t="shared" si="83"/>
        <v>71961.75</v>
      </c>
      <c r="M239" s="580">
        <f t="shared" si="83"/>
        <v>11300.5</v>
      </c>
      <c r="N239" s="580">
        <f t="shared" si="83"/>
        <v>65500</v>
      </c>
      <c r="O239" s="580">
        <f t="shared" si="83"/>
        <v>-1000</v>
      </c>
      <c r="P239" s="580">
        <f t="shared" si="83"/>
        <v>36500</v>
      </c>
      <c r="Q239" s="580">
        <f t="shared" si="83"/>
        <v>0</v>
      </c>
      <c r="R239" s="580">
        <f t="shared" si="83"/>
        <v>36500</v>
      </c>
      <c r="S239" s="612">
        <f>SUM(S238:S238)</f>
        <v>0</v>
      </c>
      <c r="T239" s="613">
        <f>SUM(T234:T238)</f>
        <v>89498.31</v>
      </c>
      <c r="V239" s="630">
        <f t="shared" si="73"/>
      </c>
    </row>
    <row r="240" spans="1:22" s="617" customFormat="1" ht="27.75" customHeight="1">
      <c r="A240" s="756">
        <v>12</v>
      </c>
      <c r="B240" s="758">
        <v>6</v>
      </c>
      <c r="C240" s="757">
        <v>1</v>
      </c>
      <c r="D240" s="1105">
        <v>770</v>
      </c>
      <c r="E240" s="776">
        <v>103</v>
      </c>
      <c r="F240" s="740" t="s">
        <v>102</v>
      </c>
      <c r="G240" s="759" t="s">
        <v>280</v>
      </c>
      <c r="H240" s="579">
        <v>1244.4</v>
      </c>
      <c r="I240" s="579">
        <v>1200</v>
      </c>
      <c r="J240" s="579">
        <v>0</v>
      </c>
      <c r="K240" s="579">
        <f>L240-J240</f>
        <v>1200</v>
      </c>
      <c r="L240" s="579">
        <v>1200</v>
      </c>
      <c r="M240" s="579"/>
      <c r="N240" s="579"/>
      <c r="O240" s="738">
        <f>N240-I240</f>
        <v>-1200</v>
      </c>
      <c r="P240" s="738"/>
      <c r="Q240" s="748"/>
      <c r="R240" s="579"/>
      <c r="S240" s="624"/>
      <c r="T240" s="1497">
        <f>H240+N240</f>
        <v>1244.4</v>
      </c>
      <c r="V240" s="630">
        <f t="shared" si="73"/>
      </c>
    </row>
    <row r="241" spans="1:22" s="617" customFormat="1" ht="27.75" customHeight="1">
      <c r="A241" s="756">
        <v>12</v>
      </c>
      <c r="B241" s="758">
        <v>6</v>
      </c>
      <c r="C241" s="757">
        <v>1</v>
      </c>
      <c r="D241" s="779"/>
      <c r="E241" s="757"/>
      <c r="F241" s="740"/>
      <c r="G241" s="759"/>
      <c r="H241" s="579"/>
      <c r="I241" s="579"/>
      <c r="J241" s="579"/>
      <c r="K241" s="579"/>
      <c r="L241" s="579"/>
      <c r="M241" s="579"/>
      <c r="N241" s="579"/>
      <c r="O241" s="738"/>
      <c r="P241" s="738"/>
      <c r="Q241" s="576"/>
      <c r="R241" s="579"/>
      <c r="S241" s="576"/>
      <c r="T241" s="625"/>
      <c r="V241" s="630">
        <f t="shared" si="73"/>
      </c>
    </row>
    <row r="242" spans="1:22" s="617" customFormat="1" ht="27.75" customHeight="1">
      <c r="A242" s="756">
        <v>12</v>
      </c>
      <c r="B242" s="758">
        <v>6</v>
      </c>
      <c r="C242" s="757">
        <v>1</v>
      </c>
      <c r="D242" s="779"/>
      <c r="E242" s="757"/>
      <c r="F242" s="740"/>
      <c r="G242" s="759"/>
      <c r="H242" s="579"/>
      <c r="I242" s="579"/>
      <c r="J242" s="579"/>
      <c r="K242" s="579"/>
      <c r="L242" s="579"/>
      <c r="M242" s="579"/>
      <c r="N242" s="579"/>
      <c r="O242" s="738"/>
      <c r="P242" s="738"/>
      <c r="Q242" s="576"/>
      <c r="R242" s="579"/>
      <c r="S242" s="579"/>
      <c r="T242" s="625"/>
      <c r="V242" s="630">
        <f t="shared" si="73"/>
      </c>
    </row>
    <row r="243" spans="1:22" s="617" customFormat="1" ht="27.75" customHeight="1">
      <c r="A243" s="756">
        <v>12</v>
      </c>
      <c r="B243" s="758">
        <v>6</v>
      </c>
      <c r="C243" s="757">
        <v>1</v>
      </c>
      <c r="D243" s="779"/>
      <c r="E243" s="757"/>
      <c r="F243" s="740"/>
      <c r="G243" s="759"/>
      <c r="H243" s="579"/>
      <c r="I243" s="579"/>
      <c r="J243" s="579"/>
      <c r="K243" s="579"/>
      <c r="L243" s="579"/>
      <c r="M243" s="579"/>
      <c r="N243" s="579"/>
      <c r="O243" s="738"/>
      <c r="P243" s="738"/>
      <c r="Q243" s="576"/>
      <c r="R243" s="579"/>
      <c r="S243" s="579"/>
      <c r="T243" s="625"/>
      <c r="V243" s="630">
        <f t="shared" si="73"/>
      </c>
    </row>
    <row r="244" spans="1:22" s="617" customFormat="1" ht="27.75" customHeight="1">
      <c r="A244" s="756">
        <v>12</v>
      </c>
      <c r="B244" s="758">
        <v>6</v>
      </c>
      <c r="C244" s="757">
        <v>1</v>
      </c>
      <c r="D244" s="779"/>
      <c r="E244" s="757"/>
      <c r="F244" s="740"/>
      <c r="G244" s="759"/>
      <c r="H244" s="579"/>
      <c r="I244" s="579"/>
      <c r="J244" s="579"/>
      <c r="K244" s="579"/>
      <c r="L244" s="579"/>
      <c r="M244" s="579"/>
      <c r="N244" s="579"/>
      <c r="O244" s="738"/>
      <c r="P244" s="738"/>
      <c r="Q244" s="576"/>
      <c r="R244" s="579"/>
      <c r="S244" s="579"/>
      <c r="T244" s="625"/>
      <c r="V244" s="630">
        <f t="shared" si="73"/>
      </c>
    </row>
    <row r="245" spans="1:22" s="617" customFormat="1" ht="27.75" customHeight="1">
      <c r="A245" s="756">
        <v>12</v>
      </c>
      <c r="B245" s="758">
        <v>6</v>
      </c>
      <c r="C245" s="757">
        <v>1</v>
      </c>
      <c r="D245" s="779"/>
      <c r="E245" s="757"/>
      <c r="F245" s="740"/>
      <c r="G245" s="759"/>
      <c r="H245" s="579"/>
      <c r="I245" s="579"/>
      <c r="J245" s="579"/>
      <c r="K245" s="579"/>
      <c r="L245" s="579"/>
      <c r="M245" s="579"/>
      <c r="N245" s="579"/>
      <c r="O245" s="738"/>
      <c r="P245" s="738"/>
      <c r="Q245" s="738"/>
      <c r="R245" s="579"/>
      <c r="S245" s="745"/>
      <c r="T245" s="625"/>
      <c r="V245" s="630">
        <f t="shared" si="73"/>
      </c>
    </row>
    <row r="246" spans="1:22" s="617" customFormat="1" ht="27.75" customHeight="1">
      <c r="A246" s="1276" t="s">
        <v>336</v>
      </c>
      <c r="B246" s="1277"/>
      <c r="C246" s="1277"/>
      <c r="D246" s="1277"/>
      <c r="E246" s="1277"/>
      <c r="F246" s="1277"/>
      <c r="G246" s="1278"/>
      <c r="H246" s="1486">
        <f>SUM(H240:H245)</f>
        <v>1244.4</v>
      </c>
      <c r="I246" s="580">
        <f>SUM(I240:I245)</f>
        <v>1200</v>
      </c>
      <c r="J246" s="580">
        <f>SUM(J240:J245)</f>
        <v>0</v>
      </c>
      <c r="K246" s="580">
        <f>SUM(K240:K245)</f>
        <v>1200</v>
      </c>
      <c r="L246" s="580">
        <f>SUM(L240:L245)</f>
        <v>1200</v>
      </c>
      <c r="M246" s="580">
        <f aca="true" t="shared" si="84" ref="M246:S246">SUM(M240:M245)</f>
        <v>0</v>
      </c>
      <c r="N246" s="580">
        <f t="shared" si="84"/>
        <v>0</v>
      </c>
      <c r="O246" s="580">
        <f t="shared" si="84"/>
        <v>-1200</v>
      </c>
      <c r="P246" s="580">
        <f t="shared" si="84"/>
        <v>0</v>
      </c>
      <c r="Q246" s="580">
        <f t="shared" si="84"/>
        <v>0</v>
      </c>
      <c r="R246" s="580">
        <f t="shared" si="84"/>
        <v>0</v>
      </c>
      <c r="S246" s="580">
        <f t="shared" si="84"/>
        <v>0</v>
      </c>
      <c r="T246" s="613">
        <f>SUM(T240:T245)</f>
        <v>1244.4</v>
      </c>
      <c r="V246" s="630">
        <f t="shared" si="73"/>
      </c>
    </row>
    <row r="247" spans="1:22" s="617" customFormat="1" ht="27.75" customHeight="1">
      <c r="A247" s="761">
        <v>12</v>
      </c>
      <c r="B247" s="764">
        <v>7</v>
      </c>
      <c r="C247" s="762">
        <v>1</v>
      </c>
      <c r="D247" s="1101">
        <v>863</v>
      </c>
      <c r="E247" s="666">
        <v>104</v>
      </c>
      <c r="F247" s="741" t="s">
        <v>113</v>
      </c>
      <c r="G247" s="760" t="s">
        <v>247</v>
      </c>
      <c r="H247" s="576">
        <v>66342.17</v>
      </c>
      <c r="I247" s="576">
        <v>109000</v>
      </c>
      <c r="J247" s="576">
        <v>107072.16</v>
      </c>
      <c r="K247" s="576">
        <f aca="true" t="shared" si="85" ref="K247:K253">L247-J247</f>
        <v>1927.8399999999965</v>
      </c>
      <c r="L247" s="575">
        <v>109000</v>
      </c>
      <c r="M247" s="1162">
        <v>22550.69</v>
      </c>
      <c r="N247" s="576">
        <v>109000</v>
      </c>
      <c r="O247" s="618">
        <f aca="true" t="shared" si="86" ref="O247:O253">N247-I247</f>
        <v>0</v>
      </c>
      <c r="P247" s="618">
        <v>109000</v>
      </c>
      <c r="Q247" s="618"/>
      <c r="R247" s="576">
        <v>109000</v>
      </c>
      <c r="S247" s="621"/>
      <c r="T247" s="1498">
        <f aca="true" t="shared" si="87" ref="T247:T253">H247+N247</f>
        <v>175342.16999999998</v>
      </c>
      <c r="V247" s="630">
        <f t="shared" si="73"/>
      </c>
    </row>
    <row r="248" spans="1:22" s="617" customFormat="1" ht="27.75" customHeight="1">
      <c r="A248" s="761">
        <v>12</v>
      </c>
      <c r="B248" s="764">
        <v>7</v>
      </c>
      <c r="C248" s="762">
        <v>1</v>
      </c>
      <c r="D248" s="1101">
        <v>867</v>
      </c>
      <c r="E248" s="666">
        <v>104</v>
      </c>
      <c r="F248" s="741" t="s">
        <v>1097</v>
      </c>
      <c r="G248" s="765" t="s">
        <v>1120</v>
      </c>
      <c r="H248" s="576"/>
      <c r="I248" s="576"/>
      <c r="J248" s="576">
        <v>0</v>
      </c>
      <c r="K248" s="576">
        <f t="shared" si="85"/>
        <v>10950.3</v>
      </c>
      <c r="L248" s="575">
        <v>10950.3</v>
      </c>
      <c r="M248" s="576"/>
      <c r="N248" s="576">
        <v>10951</v>
      </c>
      <c r="O248" s="618">
        <f t="shared" si="86"/>
        <v>10951</v>
      </c>
      <c r="P248" s="618">
        <v>10951</v>
      </c>
      <c r="Q248" s="618"/>
      <c r="R248" s="576">
        <v>10951</v>
      </c>
      <c r="S248" s="621"/>
      <c r="T248" s="1498">
        <f t="shared" si="87"/>
        <v>10951</v>
      </c>
      <c r="V248" s="630">
        <f t="shared" si="73"/>
      </c>
    </row>
    <row r="249" spans="1:22" s="617" customFormat="1" ht="27.75" customHeight="1">
      <c r="A249" s="761">
        <v>12</v>
      </c>
      <c r="B249" s="764">
        <v>7</v>
      </c>
      <c r="C249" s="762">
        <v>1</v>
      </c>
      <c r="D249" s="1101">
        <v>880</v>
      </c>
      <c r="E249" s="666">
        <v>104</v>
      </c>
      <c r="F249" s="741" t="s">
        <v>824</v>
      </c>
      <c r="G249" s="760" t="s">
        <v>281</v>
      </c>
      <c r="H249" s="576">
        <v>15078.51</v>
      </c>
      <c r="I249" s="576">
        <v>15000</v>
      </c>
      <c r="J249" s="576">
        <v>27557.85</v>
      </c>
      <c r="K249" s="576">
        <f t="shared" si="85"/>
        <v>442.15000000000146</v>
      </c>
      <c r="L249" s="575">
        <v>28000</v>
      </c>
      <c r="M249" s="1162">
        <v>3300</v>
      </c>
      <c r="N249" s="576">
        <v>15000</v>
      </c>
      <c r="O249" s="618">
        <f t="shared" si="86"/>
        <v>0</v>
      </c>
      <c r="P249" s="618">
        <v>15000</v>
      </c>
      <c r="Q249" s="618"/>
      <c r="R249" s="576">
        <v>15000</v>
      </c>
      <c r="S249" s="621"/>
      <c r="T249" s="1498">
        <f t="shared" si="87"/>
        <v>30078.510000000002</v>
      </c>
      <c r="V249" s="630">
        <f t="shared" si="73"/>
      </c>
    </row>
    <row r="250" spans="1:22" s="617" customFormat="1" ht="27.75" customHeight="1">
      <c r="A250" s="761">
        <v>12</v>
      </c>
      <c r="B250" s="764">
        <v>7</v>
      </c>
      <c r="C250" s="762">
        <v>1</v>
      </c>
      <c r="D250" s="1101">
        <v>882</v>
      </c>
      <c r="E250" s="666">
        <v>104</v>
      </c>
      <c r="F250" s="741" t="s">
        <v>99</v>
      </c>
      <c r="G250" s="765" t="s">
        <v>1115</v>
      </c>
      <c r="H250" s="576">
        <v>14837.92</v>
      </c>
      <c r="I250" s="576"/>
      <c r="J250" s="576">
        <v>0</v>
      </c>
      <c r="K250" s="576">
        <f t="shared" si="85"/>
        <v>0</v>
      </c>
      <c r="L250" s="575">
        <v>0</v>
      </c>
      <c r="M250" s="1160">
        <v>14222.48</v>
      </c>
      <c r="N250" s="576">
        <f>ENTRATA!K22</f>
        <v>0</v>
      </c>
      <c r="O250" s="618">
        <f t="shared" si="86"/>
        <v>0</v>
      </c>
      <c r="P250" s="576">
        <f>ENTRATA!M22</f>
        <v>0</v>
      </c>
      <c r="Q250" s="576"/>
      <c r="R250" s="576">
        <f>ENTRATA!N22</f>
        <v>0</v>
      </c>
      <c r="S250" s="621"/>
      <c r="T250" s="1498">
        <f t="shared" si="87"/>
        <v>14837.92</v>
      </c>
      <c r="V250" s="630">
        <f t="shared" si="73"/>
      </c>
    </row>
    <row r="251" spans="1:22" s="617" customFormat="1" ht="27.75" customHeight="1">
      <c r="A251" s="761">
        <v>12</v>
      </c>
      <c r="B251" s="764">
        <v>7</v>
      </c>
      <c r="C251" s="762">
        <v>1</v>
      </c>
      <c r="D251" s="1101">
        <v>883</v>
      </c>
      <c r="E251" s="666">
        <v>104</v>
      </c>
      <c r="F251" s="741" t="s">
        <v>988</v>
      </c>
      <c r="G251" s="765" t="s">
        <v>1116</v>
      </c>
      <c r="H251" s="576"/>
      <c r="I251" s="576"/>
      <c r="J251" s="576">
        <v>8514</v>
      </c>
      <c r="K251" s="576">
        <f t="shared" si="85"/>
        <v>86</v>
      </c>
      <c r="L251" s="575">
        <v>8600</v>
      </c>
      <c r="M251" s="1160">
        <v>5571.23</v>
      </c>
      <c r="N251" s="576">
        <v>3000</v>
      </c>
      <c r="O251" s="618">
        <f t="shared" si="86"/>
        <v>3000</v>
      </c>
      <c r="P251" s="576">
        <f>ENTRATA!M32</f>
        <v>0</v>
      </c>
      <c r="Q251" s="576"/>
      <c r="R251" s="576">
        <f>ENTRATA!N32</f>
        <v>0</v>
      </c>
      <c r="S251" s="621"/>
      <c r="T251" s="1498">
        <f t="shared" si="87"/>
        <v>3000</v>
      </c>
      <c r="V251" s="630">
        <f t="shared" si="73"/>
      </c>
    </row>
    <row r="252" spans="1:22" s="617" customFormat="1" ht="27.75" customHeight="1">
      <c r="A252" s="761">
        <v>12</v>
      </c>
      <c r="B252" s="764">
        <v>7</v>
      </c>
      <c r="C252" s="762">
        <v>1</v>
      </c>
      <c r="D252" s="1101">
        <v>886</v>
      </c>
      <c r="E252" s="666">
        <v>104</v>
      </c>
      <c r="F252" s="741" t="s">
        <v>124</v>
      </c>
      <c r="G252" s="765" t="s">
        <v>1121</v>
      </c>
      <c r="H252" s="576"/>
      <c r="I252" s="576">
        <v>10000</v>
      </c>
      <c r="J252" s="576">
        <v>0</v>
      </c>
      <c r="K252" s="576">
        <f t="shared" si="85"/>
        <v>10000</v>
      </c>
      <c r="L252" s="575">
        <v>10000</v>
      </c>
      <c r="M252" s="576"/>
      <c r="N252" s="575">
        <f>ENTRATA!K58</f>
        <v>10000</v>
      </c>
      <c r="O252" s="618">
        <f t="shared" si="86"/>
        <v>0</v>
      </c>
      <c r="P252" s="575">
        <f>ENTRATA!N58</f>
        <v>10000</v>
      </c>
      <c r="Q252" s="575"/>
      <c r="R252" s="575">
        <f>ENTRATA!N58</f>
        <v>10000</v>
      </c>
      <c r="S252" s="621"/>
      <c r="T252" s="1493">
        <f t="shared" si="87"/>
        <v>10000</v>
      </c>
      <c r="V252" s="630">
        <f t="shared" si="73"/>
      </c>
    </row>
    <row r="253" spans="1:22" s="617" customFormat="1" ht="27.75" customHeight="1">
      <c r="A253" s="761">
        <v>12</v>
      </c>
      <c r="B253" s="764">
        <v>7</v>
      </c>
      <c r="C253" s="762">
        <v>1</v>
      </c>
      <c r="D253" s="1101">
        <v>888</v>
      </c>
      <c r="E253" s="666">
        <v>104</v>
      </c>
      <c r="F253" s="741" t="s">
        <v>878</v>
      </c>
      <c r="G253" s="765" t="s">
        <v>1100</v>
      </c>
      <c r="H253" s="576"/>
      <c r="I253" s="576"/>
      <c r="J253" s="576">
        <v>1047.66</v>
      </c>
      <c r="K253" s="576">
        <f t="shared" si="85"/>
        <v>0</v>
      </c>
      <c r="L253" s="575">
        <v>1047.66</v>
      </c>
      <c r="M253" s="576"/>
      <c r="N253" s="575">
        <f>ENTRATA!K43</f>
        <v>0</v>
      </c>
      <c r="O253" s="618">
        <f t="shared" si="86"/>
        <v>0</v>
      </c>
      <c r="P253" s="575">
        <f>ENTRATA!M43</f>
        <v>0</v>
      </c>
      <c r="Q253" s="575"/>
      <c r="R253" s="575">
        <f>ENTRATA!N43</f>
        <v>0</v>
      </c>
      <c r="S253" s="621"/>
      <c r="T253" s="622">
        <f t="shared" si="87"/>
        <v>0</v>
      </c>
      <c r="V253" s="630">
        <f t="shared" si="73"/>
      </c>
    </row>
    <row r="254" spans="1:22" s="686" customFormat="1" ht="27" customHeight="1">
      <c r="A254" s="1276" t="s">
        <v>337</v>
      </c>
      <c r="B254" s="1277"/>
      <c r="C254" s="1277"/>
      <c r="D254" s="1277"/>
      <c r="E254" s="1277"/>
      <c r="F254" s="1277"/>
      <c r="G254" s="1278"/>
      <c r="H254" s="1486">
        <f aca="true" t="shared" si="88" ref="H254:T254">SUM(H247:H253)</f>
        <v>96258.59999999999</v>
      </c>
      <c r="I254" s="580">
        <f t="shared" si="88"/>
        <v>134000</v>
      </c>
      <c r="J254" s="580">
        <f t="shared" si="88"/>
        <v>144191.67</v>
      </c>
      <c r="K254" s="580">
        <f t="shared" si="88"/>
        <v>23406.289999999997</v>
      </c>
      <c r="L254" s="578">
        <f t="shared" si="88"/>
        <v>167597.96</v>
      </c>
      <c r="M254" s="578">
        <f t="shared" si="88"/>
        <v>45644.399999999994</v>
      </c>
      <c r="N254" s="578">
        <f t="shared" si="88"/>
        <v>147951</v>
      </c>
      <c r="O254" s="578">
        <f t="shared" si="88"/>
        <v>13951</v>
      </c>
      <c r="P254" s="578">
        <f t="shared" si="88"/>
        <v>144951</v>
      </c>
      <c r="Q254" s="772">
        <f t="shared" si="88"/>
        <v>0</v>
      </c>
      <c r="R254" s="772">
        <f t="shared" si="88"/>
        <v>144951</v>
      </c>
      <c r="S254" s="772">
        <f t="shared" si="88"/>
        <v>0</v>
      </c>
      <c r="T254" s="670">
        <f t="shared" si="88"/>
        <v>244209.6</v>
      </c>
      <c r="V254" s="630">
        <f t="shared" si="73"/>
      </c>
    </row>
    <row r="255" spans="1:22" s="617" customFormat="1" ht="27.75" customHeight="1">
      <c r="A255" s="761">
        <v>12</v>
      </c>
      <c r="B255" s="764">
        <v>9</v>
      </c>
      <c r="C255" s="762">
        <v>1</v>
      </c>
      <c r="D255" s="1101">
        <v>900</v>
      </c>
      <c r="E255" s="666">
        <v>103</v>
      </c>
      <c r="F255" s="741" t="s">
        <v>106</v>
      </c>
      <c r="G255" s="760" t="s">
        <v>430</v>
      </c>
      <c r="H255" s="576">
        <v>1870.1</v>
      </c>
      <c r="I255" s="576">
        <v>3000</v>
      </c>
      <c r="J255" s="576">
        <v>6000</v>
      </c>
      <c r="K255" s="576">
        <f>L255-J255</f>
        <v>0</v>
      </c>
      <c r="L255" s="575">
        <v>6000</v>
      </c>
      <c r="M255" s="576"/>
      <c r="N255" s="576">
        <v>6000</v>
      </c>
      <c r="O255" s="618">
        <f>N255-I255</f>
        <v>3000</v>
      </c>
      <c r="P255" s="618">
        <v>6000</v>
      </c>
      <c r="Q255" s="618"/>
      <c r="R255" s="576">
        <v>6000</v>
      </c>
      <c r="S255" s="621"/>
      <c r="T255" s="1498">
        <f>H255+N255</f>
        <v>7870.1</v>
      </c>
      <c r="V255" s="630">
        <f t="shared" si="73"/>
      </c>
    </row>
    <row r="256" spans="1:22" s="617" customFormat="1" ht="27.75" customHeight="1">
      <c r="A256" s="761">
        <v>12</v>
      </c>
      <c r="B256" s="764">
        <v>9</v>
      </c>
      <c r="C256" s="762">
        <v>1</v>
      </c>
      <c r="D256" s="1101">
        <v>906</v>
      </c>
      <c r="E256" s="666">
        <v>103</v>
      </c>
      <c r="F256" s="741" t="s">
        <v>106</v>
      </c>
      <c r="G256" s="760" t="s">
        <v>165</v>
      </c>
      <c r="H256" s="576">
        <v>7831.24</v>
      </c>
      <c r="I256" s="576">
        <v>10000</v>
      </c>
      <c r="J256" s="576">
        <v>9010</v>
      </c>
      <c r="K256" s="576">
        <f>L256-J256</f>
        <v>990</v>
      </c>
      <c r="L256" s="575">
        <v>10000</v>
      </c>
      <c r="M256" s="576"/>
      <c r="N256" s="576">
        <v>10000</v>
      </c>
      <c r="O256" s="618">
        <f>N256-I256</f>
        <v>0</v>
      </c>
      <c r="P256" s="636">
        <v>10000</v>
      </c>
      <c r="Q256" s="636"/>
      <c r="R256" s="575">
        <v>10000</v>
      </c>
      <c r="S256" s="621"/>
      <c r="T256" s="1493">
        <f>H256+N256</f>
        <v>17831.239999999998</v>
      </c>
      <c r="V256" s="630">
        <f t="shared" si="73"/>
      </c>
    </row>
    <row r="257" spans="1:22" s="617" customFormat="1" ht="27.75" customHeight="1">
      <c r="A257" s="761">
        <v>12</v>
      </c>
      <c r="B257" s="764">
        <v>9</v>
      </c>
      <c r="C257" s="762">
        <v>1</v>
      </c>
      <c r="D257" s="1101">
        <v>907</v>
      </c>
      <c r="E257" s="666">
        <v>103</v>
      </c>
      <c r="F257" s="741" t="s">
        <v>106</v>
      </c>
      <c r="G257" s="765" t="s">
        <v>825</v>
      </c>
      <c r="H257" s="576">
        <v>1332</v>
      </c>
      <c r="I257" s="576">
        <v>1000</v>
      </c>
      <c r="J257" s="576">
        <v>332</v>
      </c>
      <c r="K257" s="576">
        <f>L257-J257</f>
        <v>668</v>
      </c>
      <c r="L257" s="575">
        <v>1000</v>
      </c>
      <c r="M257" s="576"/>
      <c r="N257" s="576">
        <v>1000</v>
      </c>
      <c r="O257" s="618">
        <f>N257-I257</f>
        <v>0</v>
      </c>
      <c r="P257" s="618">
        <v>1000</v>
      </c>
      <c r="Q257" s="618"/>
      <c r="R257" s="576">
        <v>1000</v>
      </c>
      <c r="S257" s="621"/>
      <c r="T257" s="1498">
        <f>H257+N257</f>
        <v>2332</v>
      </c>
      <c r="V257" s="630">
        <f t="shared" si="73"/>
      </c>
    </row>
    <row r="258" spans="1:22" s="617" customFormat="1" ht="27.75" customHeight="1">
      <c r="A258" s="626">
        <v>12</v>
      </c>
      <c r="B258" s="766">
        <v>9</v>
      </c>
      <c r="C258" s="627">
        <v>1</v>
      </c>
      <c r="D258" s="1104">
        <v>910</v>
      </c>
      <c r="E258" s="665">
        <v>107</v>
      </c>
      <c r="F258" s="628" t="s">
        <v>123</v>
      </c>
      <c r="G258" s="775" t="s">
        <v>332</v>
      </c>
      <c r="H258" s="577"/>
      <c r="I258" s="577">
        <v>2515</v>
      </c>
      <c r="J258" s="577">
        <v>2515</v>
      </c>
      <c r="K258" s="576">
        <f>L258-J258</f>
        <v>0</v>
      </c>
      <c r="L258" s="587">
        <v>2515</v>
      </c>
      <c r="M258" s="577"/>
      <c r="N258" s="577">
        <v>2179</v>
      </c>
      <c r="O258" s="618">
        <f>N258-I258</f>
        <v>-336</v>
      </c>
      <c r="P258" s="619">
        <v>1834</v>
      </c>
      <c r="Q258" s="639"/>
      <c r="R258" s="577">
        <v>1479</v>
      </c>
      <c r="S258" s="640"/>
      <c r="T258" s="1493">
        <f>H258+N258</f>
        <v>2179</v>
      </c>
      <c r="V258" s="630">
        <f t="shared" si="73"/>
      </c>
    </row>
    <row r="259" spans="1:22" s="686" customFormat="1" ht="30.75" customHeight="1" thickBot="1">
      <c r="A259" s="1281" t="s">
        <v>338</v>
      </c>
      <c r="B259" s="1282"/>
      <c r="C259" s="1282"/>
      <c r="D259" s="1282"/>
      <c r="E259" s="1282"/>
      <c r="F259" s="1282"/>
      <c r="G259" s="1283"/>
      <c r="H259" s="1486">
        <f aca="true" t="shared" si="89" ref="H259:T259">SUM(H255:H258)</f>
        <v>11033.34</v>
      </c>
      <c r="I259" s="580">
        <f t="shared" si="89"/>
        <v>16515</v>
      </c>
      <c r="J259" s="580">
        <f t="shared" si="89"/>
        <v>17857</v>
      </c>
      <c r="K259" s="580">
        <f t="shared" si="89"/>
        <v>1658</v>
      </c>
      <c r="L259" s="578">
        <f t="shared" si="89"/>
        <v>19515</v>
      </c>
      <c r="M259" s="578">
        <f t="shared" si="89"/>
        <v>0</v>
      </c>
      <c r="N259" s="578">
        <f t="shared" si="89"/>
        <v>19179</v>
      </c>
      <c r="O259" s="578">
        <f t="shared" si="89"/>
        <v>2664</v>
      </c>
      <c r="P259" s="578">
        <f t="shared" si="89"/>
        <v>18834</v>
      </c>
      <c r="Q259" s="772">
        <f t="shared" si="89"/>
        <v>0</v>
      </c>
      <c r="R259" s="772">
        <f t="shared" si="89"/>
        <v>18479</v>
      </c>
      <c r="S259" s="772">
        <f t="shared" si="89"/>
        <v>0</v>
      </c>
      <c r="T259" s="670">
        <f t="shared" si="89"/>
        <v>30212.339999999997</v>
      </c>
      <c r="V259" s="630">
        <f t="shared" si="73"/>
      </c>
    </row>
    <row r="260" spans="1:26" s="686" customFormat="1" ht="21" customHeight="1" thickBot="1">
      <c r="A260" s="1262" t="s">
        <v>69</v>
      </c>
      <c r="B260" s="1263"/>
      <c r="C260" s="1263"/>
      <c r="D260" s="1263"/>
      <c r="E260" s="1263"/>
      <c r="F260" s="1263"/>
      <c r="G260" s="1264"/>
      <c r="H260" s="1489">
        <f aca="true" t="shared" si="90" ref="H260:T260">H224+H230+H233+H239+H246+H254+H259</f>
        <v>163440.97999999998</v>
      </c>
      <c r="I260" s="586">
        <f t="shared" si="90"/>
        <v>338215</v>
      </c>
      <c r="J260" s="586">
        <f t="shared" si="90"/>
        <v>319537.97</v>
      </c>
      <c r="K260" s="586">
        <f t="shared" si="90"/>
        <v>65736.73999999999</v>
      </c>
      <c r="L260" s="586">
        <f t="shared" si="90"/>
        <v>385274.70999999996</v>
      </c>
      <c r="M260" s="586">
        <f t="shared" si="90"/>
        <v>96395.47</v>
      </c>
      <c r="N260" s="586">
        <f t="shared" si="90"/>
        <v>347630</v>
      </c>
      <c r="O260" s="586">
        <f t="shared" si="90"/>
        <v>9415</v>
      </c>
      <c r="P260" s="586">
        <f t="shared" si="90"/>
        <v>275285</v>
      </c>
      <c r="Q260" s="586">
        <f t="shared" si="90"/>
        <v>0</v>
      </c>
      <c r="R260" s="586">
        <f t="shared" si="90"/>
        <v>274930</v>
      </c>
      <c r="S260" s="586">
        <f t="shared" si="90"/>
        <v>0</v>
      </c>
      <c r="T260" s="586">
        <f t="shared" si="90"/>
        <v>511070.98</v>
      </c>
      <c r="V260" s="630">
        <f t="shared" si="73"/>
      </c>
      <c r="X260" s="687"/>
      <c r="Z260" s="687"/>
    </row>
    <row r="261" spans="1:22" s="686" customFormat="1" ht="21" customHeight="1" thickBot="1">
      <c r="A261" s="1262" t="s">
        <v>339</v>
      </c>
      <c r="B261" s="1263"/>
      <c r="C261" s="1263"/>
      <c r="D261" s="1263"/>
      <c r="E261" s="1263"/>
      <c r="F261" s="1263"/>
      <c r="G261" s="1264"/>
      <c r="H261" s="1279"/>
      <c r="I261" s="1280"/>
      <c r="J261" s="1280"/>
      <c r="K261" s="1280"/>
      <c r="L261" s="1280"/>
      <c r="M261" s="1280"/>
      <c r="N261" s="1280"/>
      <c r="O261" s="1280"/>
      <c r="P261" s="1280"/>
      <c r="Q261" s="1280"/>
      <c r="R261" s="1280"/>
      <c r="S261" s="1280"/>
      <c r="T261" s="1280"/>
      <c r="V261" s="630">
        <f t="shared" si="73"/>
      </c>
    </row>
    <row r="262" spans="1:22" s="617" customFormat="1" ht="27.75" customHeight="1">
      <c r="A262" s="796">
        <v>14</v>
      </c>
      <c r="B262" s="803">
        <v>4</v>
      </c>
      <c r="C262" s="757">
        <v>1</v>
      </c>
      <c r="D262" s="1104">
        <v>940</v>
      </c>
      <c r="E262" s="757">
        <v>104</v>
      </c>
      <c r="F262" s="740"/>
      <c r="G262" s="787" t="s">
        <v>288</v>
      </c>
      <c r="H262" s="579"/>
      <c r="I262" s="579"/>
      <c r="J262" s="579"/>
      <c r="K262" s="579"/>
      <c r="L262" s="579"/>
      <c r="M262" s="579"/>
      <c r="N262" s="579"/>
      <c r="O262" s="738"/>
      <c r="P262" s="738"/>
      <c r="Q262" s="623"/>
      <c r="R262" s="579"/>
      <c r="S262" s="624"/>
      <c r="T262" s="669"/>
      <c r="V262" s="630">
        <f t="shared" si="73"/>
      </c>
    </row>
    <row r="263" spans="1:22" s="686" customFormat="1" ht="28.5" customHeight="1" thickBot="1">
      <c r="A263" s="1276" t="s">
        <v>341</v>
      </c>
      <c r="B263" s="1277"/>
      <c r="C263" s="1277"/>
      <c r="D263" s="1277"/>
      <c r="E263" s="1277"/>
      <c r="F263" s="1277"/>
      <c r="G263" s="1278"/>
      <c r="H263" s="578">
        <f aca="true" t="shared" si="91" ref="H263:T263">SUM(H262:H262)</f>
        <v>0</v>
      </c>
      <c r="I263" s="578">
        <f t="shared" si="91"/>
        <v>0</v>
      </c>
      <c r="J263" s="578">
        <f t="shared" si="91"/>
        <v>0</v>
      </c>
      <c r="K263" s="578">
        <f t="shared" si="91"/>
        <v>0</v>
      </c>
      <c r="L263" s="578">
        <f t="shared" si="91"/>
        <v>0</v>
      </c>
      <c r="M263" s="578">
        <f t="shared" si="91"/>
        <v>0</v>
      </c>
      <c r="N263" s="578">
        <f t="shared" si="91"/>
        <v>0</v>
      </c>
      <c r="O263" s="578">
        <f t="shared" si="91"/>
        <v>0</v>
      </c>
      <c r="P263" s="578">
        <f t="shared" si="91"/>
        <v>0</v>
      </c>
      <c r="Q263" s="578">
        <f t="shared" si="91"/>
        <v>0</v>
      </c>
      <c r="R263" s="578">
        <f t="shared" si="91"/>
        <v>0</v>
      </c>
      <c r="S263" s="578">
        <f t="shared" si="91"/>
        <v>0</v>
      </c>
      <c r="T263" s="673">
        <f t="shared" si="91"/>
        <v>0</v>
      </c>
      <c r="V263" s="630">
        <f t="shared" si="73"/>
      </c>
    </row>
    <row r="264" spans="1:24" s="686" customFormat="1" ht="21" customHeight="1" thickBot="1">
      <c r="A264" s="1262" t="s">
        <v>340</v>
      </c>
      <c r="B264" s="1263"/>
      <c r="C264" s="1263"/>
      <c r="D264" s="1263"/>
      <c r="E264" s="1263"/>
      <c r="F264" s="1263"/>
      <c r="G264" s="1264"/>
      <c r="H264" s="586">
        <f>H263</f>
        <v>0</v>
      </c>
      <c r="I264" s="586">
        <f aca="true" t="shared" si="92" ref="I264:O264">I263</f>
        <v>0</v>
      </c>
      <c r="J264" s="586">
        <f t="shared" si="92"/>
        <v>0</v>
      </c>
      <c r="K264" s="586">
        <f t="shared" si="92"/>
        <v>0</v>
      </c>
      <c r="L264" s="586">
        <f t="shared" si="92"/>
        <v>0</v>
      </c>
      <c r="M264" s="586">
        <f t="shared" si="92"/>
        <v>0</v>
      </c>
      <c r="N264" s="586">
        <f t="shared" si="92"/>
        <v>0</v>
      </c>
      <c r="O264" s="586">
        <f t="shared" si="92"/>
        <v>0</v>
      </c>
      <c r="P264" s="586">
        <f>P263</f>
        <v>0</v>
      </c>
      <c r="Q264" s="586">
        <f>Q263</f>
        <v>0</v>
      </c>
      <c r="R264" s="586">
        <f>R263</f>
        <v>0</v>
      </c>
      <c r="S264" s="586">
        <f>S263</f>
        <v>0</v>
      </c>
      <c r="T264" s="586">
        <f>T263</f>
        <v>0</v>
      </c>
      <c r="V264" s="630">
        <f aca="true" t="shared" si="93" ref="V264:V327">IF(T264&gt;(H264+N264),"ERRORE","")</f>
      </c>
      <c r="X264" s="687"/>
    </row>
    <row r="265" spans="1:22" s="686" customFormat="1" ht="23.25" customHeight="1" thickBot="1">
      <c r="A265" s="1262" t="s">
        <v>342</v>
      </c>
      <c r="B265" s="1263"/>
      <c r="C265" s="1263"/>
      <c r="D265" s="1263"/>
      <c r="E265" s="1263"/>
      <c r="F265" s="1263"/>
      <c r="G265" s="1264"/>
      <c r="H265" s="1294"/>
      <c r="I265" s="1295"/>
      <c r="J265" s="1295"/>
      <c r="K265" s="1295"/>
      <c r="L265" s="1295"/>
      <c r="M265" s="1295"/>
      <c r="N265" s="1295"/>
      <c r="O265" s="1295"/>
      <c r="P265" s="1295"/>
      <c r="Q265" s="1295"/>
      <c r="R265" s="1295"/>
      <c r="S265" s="1295"/>
      <c r="T265" s="1295"/>
      <c r="V265" s="630">
        <f t="shared" si="93"/>
      </c>
    </row>
    <row r="266" spans="1:22" s="617" customFormat="1" ht="27.75" customHeight="1">
      <c r="A266" s="756">
        <v>15</v>
      </c>
      <c r="B266" s="764">
        <v>1</v>
      </c>
      <c r="C266" s="762">
        <v>1</v>
      </c>
      <c r="D266" s="1101">
        <v>945</v>
      </c>
      <c r="E266" s="666">
        <v>104</v>
      </c>
      <c r="F266" s="741" t="s">
        <v>113</v>
      </c>
      <c r="G266" s="760" t="s">
        <v>300</v>
      </c>
      <c r="H266" s="579">
        <v>4784.25</v>
      </c>
      <c r="I266" s="579">
        <v>2000</v>
      </c>
      <c r="J266" s="579">
        <v>0</v>
      </c>
      <c r="K266" s="579">
        <f>L266-J266</f>
        <v>2000</v>
      </c>
      <c r="L266" s="579">
        <v>2000</v>
      </c>
      <c r="M266" s="1165">
        <v>1500</v>
      </c>
      <c r="N266" s="579">
        <v>2000</v>
      </c>
      <c r="O266" s="738">
        <f>N266-I266</f>
        <v>0</v>
      </c>
      <c r="P266" s="738">
        <v>2000</v>
      </c>
      <c r="Q266" s="738"/>
      <c r="R266" s="579">
        <v>2000</v>
      </c>
      <c r="S266" s="624"/>
      <c r="T266" s="1505">
        <f>H266+N266</f>
        <v>6784.25</v>
      </c>
      <c r="U266" s="747"/>
      <c r="V266" s="630">
        <f t="shared" si="93"/>
      </c>
    </row>
    <row r="267" spans="1:22" s="617" customFormat="1" ht="27.75" customHeight="1">
      <c r="A267" s="756">
        <v>15</v>
      </c>
      <c r="B267" s="764">
        <v>1</v>
      </c>
      <c r="C267" s="762">
        <v>1</v>
      </c>
      <c r="D267" s="763"/>
      <c r="E267" s="762"/>
      <c r="F267" s="741"/>
      <c r="G267" s="760"/>
      <c r="H267" s="579"/>
      <c r="I267" s="579"/>
      <c r="J267" s="579"/>
      <c r="K267" s="579"/>
      <c r="L267" s="579"/>
      <c r="M267" s="579"/>
      <c r="N267" s="579"/>
      <c r="O267" s="738"/>
      <c r="P267" s="738"/>
      <c r="Q267" s="738"/>
      <c r="R267" s="579"/>
      <c r="S267" s="624"/>
      <c r="T267" s="625"/>
      <c r="U267" s="747"/>
      <c r="V267" s="630">
        <f t="shared" si="93"/>
      </c>
    </row>
    <row r="268" spans="1:22" s="617" customFormat="1" ht="27.75" customHeight="1">
      <c r="A268" s="756">
        <v>15</v>
      </c>
      <c r="B268" s="764">
        <v>1</v>
      </c>
      <c r="C268" s="762">
        <v>1</v>
      </c>
      <c r="D268" s="763"/>
      <c r="E268" s="762"/>
      <c r="F268" s="741"/>
      <c r="G268" s="760"/>
      <c r="H268" s="579"/>
      <c r="I268" s="579"/>
      <c r="J268" s="579"/>
      <c r="K268" s="579"/>
      <c r="L268" s="579"/>
      <c r="M268" s="579"/>
      <c r="N268" s="579"/>
      <c r="O268" s="738"/>
      <c r="P268" s="738"/>
      <c r="Q268" s="738"/>
      <c r="R268" s="579"/>
      <c r="S268" s="624"/>
      <c r="T268" s="810"/>
      <c r="U268" s="747"/>
      <c r="V268" s="630">
        <f t="shared" si="93"/>
      </c>
    </row>
    <row r="269" spans="1:22" s="686" customFormat="1" ht="27" customHeight="1" thickBot="1">
      <c r="A269" s="1281" t="s">
        <v>344</v>
      </c>
      <c r="B269" s="1282"/>
      <c r="C269" s="1282"/>
      <c r="D269" s="1282"/>
      <c r="E269" s="1282"/>
      <c r="F269" s="1282"/>
      <c r="G269" s="1283"/>
      <c r="H269" s="1490">
        <f>SUM(H266:H268)</f>
        <v>4784.25</v>
      </c>
      <c r="I269" s="812">
        <f aca="true" t="shared" si="94" ref="I269:T269">SUM(I266:I268)</f>
        <v>2000</v>
      </c>
      <c r="J269" s="812">
        <f t="shared" si="94"/>
        <v>0</v>
      </c>
      <c r="K269" s="812">
        <f t="shared" si="94"/>
        <v>2000</v>
      </c>
      <c r="L269" s="812">
        <f t="shared" si="94"/>
        <v>2000</v>
      </c>
      <c r="M269" s="812">
        <f t="shared" si="94"/>
        <v>1500</v>
      </c>
      <c r="N269" s="812">
        <f t="shared" si="94"/>
        <v>2000</v>
      </c>
      <c r="O269" s="812">
        <f t="shared" si="94"/>
        <v>0</v>
      </c>
      <c r="P269" s="812">
        <f t="shared" si="94"/>
        <v>2000</v>
      </c>
      <c r="Q269" s="812">
        <f t="shared" si="94"/>
        <v>0</v>
      </c>
      <c r="R269" s="812">
        <f t="shared" si="94"/>
        <v>2000</v>
      </c>
      <c r="S269" s="1207">
        <f t="shared" si="94"/>
        <v>0</v>
      </c>
      <c r="T269" s="809">
        <f t="shared" si="94"/>
        <v>6784.25</v>
      </c>
      <c r="V269" s="630">
        <f t="shared" si="93"/>
      </c>
    </row>
    <row r="270" spans="1:22" s="617" customFormat="1" ht="27.75" customHeight="1">
      <c r="A270" s="756">
        <v>15</v>
      </c>
      <c r="B270" s="758">
        <v>3</v>
      </c>
      <c r="C270" s="757">
        <v>1</v>
      </c>
      <c r="D270" s="1101">
        <v>881</v>
      </c>
      <c r="E270" s="757">
        <v>104</v>
      </c>
      <c r="F270" s="740" t="s">
        <v>878</v>
      </c>
      <c r="G270" s="787" t="s">
        <v>648</v>
      </c>
      <c r="H270" s="579"/>
      <c r="I270" s="579"/>
      <c r="J270" s="579"/>
      <c r="K270" s="579"/>
      <c r="L270" s="579"/>
      <c r="M270" s="579"/>
      <c r="N270" s="579">
        <v>0</v>
      </c>
      <c r="O270" s="738"/>
      <c r="P270" s="738">
        <v>0</v>
      </c>
      <c r="Q270" s="738"/>
      <c r="R270" s="579">
        <v>0</v>
      </c>
      <c r="S270" s="624"/>
      <c r="T270" s="840">
        <f>H270+N270</f>
        <v>0</v>
      </c>
      <c r="U270" s="747"/>
      <c r="V270" s="630">
        <f t="shared" si="93"/>
      </c>
    </row>
    <row r="271" spans="1:22" s="617" customFormat="1" ht="27.75" customHeight="1">
      <c r="A271" s="756">
        <v>15</v>
      </c>
      <c r="B271" s="764">
        <v>3</v>
      </c>
      <c r="C271" s="762">
        <v>1</v>
      </c>
      <c r="D271" s="763"/>
      <c r="E271" s="762"/>
      <c r="F271" s="741"/>
      <c r="G271" s="760"/>
      <c r="H271" s="579"/>
      <c r="I271" s="579"/>
      <c r="J271" s="579"/>
      <c r="K271" s="579"/>
      <c r="L271" s="579"/>
      <c r="M271" s="579"/>
      <c r="N271" s="579"/>
      <c r="O271" s="738"/>
      <c r="P271" s="738"/>
      <c r="Q271" s="738"/>
      <c r="R271" s="579"/>
      <c r="S271" s="624"/>
      <c r="T271" s="625"/>
      <c r="U271" s="747"/>
      <c r="V271" s="630">
        <f t="shared" si="93"/>
      </c>
    </row>
    <row r="272" spans="1:22" s="686" customFormat="1" ht="26.25" customHeight="1" thickBot="1">
      <c r="A272" s="1281" t="s">
        <v>647</v>
      </c>
      <c r="B272" s="1282"/>
      <c r="C272" s="1282"/>
      <c r="D272" s="1282"/>
      <c r="E272" s="1282"/>
      <c r="F272" s="1282"/>
      <c r="G272" s="1283"/>
      <c r="H272" s="812">
        <f>SUM(H270:H271)</f>
        <v>0</v>
      </c>
      <c r="I272" s="812">
        <f>SUM(I270:I271)</f>
        <v>0</v>
      </c>
      <c r="J272" s="812">
        <f>SUM(J270:J271)</f>
        <v>0</v>
      </c>
      <c r="K272" s="812">
        <f>SUM(K270:K271)</f>
        <v>0</v>
      </c>
      <c r="L272" s="812">
        <f>SUM(L270:L271)</f>
        <v>0</v>
      </c>
      <c r="M272" s="812">
        <f aca="true" t="shared" si="95" ref="M272:R272">SUM(M270:M271)</f>
        <v>0</v>
      </c>
      <c r="N272" s="812">
        <f t="shared" si="95"/>
        <v>0</v>
      </c>
      <c r="O272" s="812">
        <f t="shared" si="95"/>
        <v>0</v>
      </c>
      <c r="P272" s="812">
        <f t="shared" si="95"/>
        <v>0</v>
      </c>
      <c r="Q272" s="812">
        <f t="shared" si="95"/>
        <v>0</v>
      </c>
      <c r="R272" s="812">
        <f t="shared" si="95"/>
        <v>0</v>
      </c>
      <c r="S272" s="812">
        <f>SUM(S270:S271)</f>
        <v>0</v>
      </c>
      <c r="T272" s="678">
        <f>SUM(T270:T271)</f>
        <v>0</v>
      </c>
      <c r="V272" s="630">
        <f t="shared" si="93"/>
      </c>
    </row>
    <row r="273" spans="1:24" s="686" customFormat="1" ht="23.25" customHeight="1" thickBot="1">
      <c r="A273" s="1262" t="s">
        <v>343</v>
      </c>
      <c r="B273" s="1263"/>
      <c r="C273" s="1263"/>
      <c r="D273" s="1263"/>
      <c r="E273" s="1263"/>
      <c r="F273" s="1263"/>
      <c r="G273" s="1264"/>
      <c r="H273" s="590">
        <f>H269+H272</f>
        <v>4784.25</v>
      </c>
      <c r="I273" s="590">
        <f>I269+I272</f>
        <v>2000</v>
      </c>
      <c r="J273" s="590">
        <f>J269+J272</f>
        <v>0</v>
      </c>
      <c r="K273" s="590">
        <f>K269+K272</f>
        <v>2000</v>
      </c>
      <c r="L273" s="590">
        <f>L269+L272</f>
        <v>2000</v>
      </c>
      <c r="M273" s="590">
        <f aca="true" t="shared" si="96" ref="M273:T273">M269+M272</f>
        <v>1500</v>
      </c>
      <c r="N273" s="590">
        <f t="shared" si="96"/>
        <v>2000</v>
      </c>
      <c r="O273" s="590">
        <f t="shared" si="96"/>
        <v>0</v>
      </c>
      <c r="P273" s="590">
        <f t="shared" si="96"/>
        <v>2000</v>
      </c>
      <c r="Q273" s="590">
        <f t="shared" si="96"/>
        <v>0</v>
      </c>
      <c r="R273" s="590">
        <f t="shared" si="96"/>
        <v>2000</v>
      </c>
      <c r="S273" s="590">
        <f t="shared" si="96"/>
        <v>0</v>
      </c>
      <c r="T273" s="590">
        <f t="shared" si="96"/>
        <v>6784.25</v>
      </c>
      <c r="V273" s="630">
        <f t="shared" si="93"/>
      </c>
      <c r="X273" s="687"/>
    </row>
    <row r="274" spans="1:22" s="686" customFormat="1" ht="23.25" customHeight="1" thickBot="1">
      <c r="A274" s="1262" t="s">
        <v>345</v>
      </c>
      <c r="B274" s="1263"/>
      <c r="C274" s="1263"/>
      <c r="D274" s="1263"/>
      <c r="E274" s="1263"/>
      <c r="F274" s="1263"/>
      <c r="G274" s="1264"/>
      <c r="H274" s="1294"/>
      <c r="I274" s="1295"/>
      <c r="J274" s="1295"/>
      <c r="K274" s="1295"/>
      <c r="L274" s="1295"/>
      <c r="M274" s="1295"/>
      <c r="N274" s="1295"/>
      <c r="O274" s="1295"/>
      <c r="P274" s="1295"/>
      <c r="Q274" s="1295"/>
      <c r="R274" s="1295"/>
      <c r="S274" s="1295"/>
      <c r="T274" s="1295"/>
      <c r="V274" s="630">
        <f t="shared" si="93"/>
      </c>
    </row>
    <row r="275" spans="1:24" s="617" customFormat="1" ht="27.75" customHeight="1" thickBot="1">
      <c r="A275" s="977">
        <v>20</v>
      </c>
      <c r="B275" s="978">
        <v>1</v>
      </c>
      <c r="C275" s="978">
        <v>1</v>
      </c>
      <c r="D275" s="1109">
        <v>960</v>
      </c>
      <c r="E275" s="979">
        <v>110</v>
      </c>
      <c r="F275" s="979" t="s">
        <v>122</v>
      </c>
      <c r="G275" s="980" t="s">
        <v>239</v>
      </c>
      <c r="H275" s="1208"/>
      <c r="I275" s="609">
        <v>10553</v>
      </c>
      <c r="J275" s="1208"/>
      <c r="K275" s="609">
        <f>L275-J275</f>
        <v>8053</v>
      </c>
      <c r="L275" s="981">
        <v>8053</v>
      </c>
      <c r="M275" s="1208"/>
      <c r="N275" s="981">
        <f>19630-2700</f>
        <v>16930</v>
      </c>
      <c r="O275" s="1068">
        <f>N275-I275</f>
        <v>6377</v>
      </c>
      <c r="P275" s="981">
        <f>22860-2600</f>
        <v>20260</v>
      </c>
      <c r="Q275" s="1068"/>
      <c r="R275" s="981">
        <f>29812-2700</f>
        <v>27112</v>
      </c>
      <c r="S275" s="983"/>
      <c r="T275" s="679">
        <v>0</v>
      </c>
      <c r="U275" s="984"/>
      <c r="V275" s="630">
        <f t="shared" si="93"/>
      </c>
      <c r="X275" s="688"/>
    </row>
    <row r="276" spans="1:24" s="617" customFormat="1" ht="27.75" customHeight="1">
      <c r="A276" s="976">
        <v>20</v>
      </c>
      <c r="B276" s="627">
        <v>1</v>
      </c>
      <c r="C276" s="627">
        <v>1</v>
      </c>
      <c r="D276" s="1103" t="s">
        <v>867</v>
      </c>
      <c r="E276" s="628">
        <v>110</v>
      </c>
      <c r="F276" s="628" t="s">
        <v>879</v>
      </c>
      <c r="G276" s="982" t="s">
        <v>866</v>
      </c>
      <c r="H276" s="1209"/>
      <c r="I276" s="1209"/>
      <c r="J276" s="1209"/>
      <c r="K276" s="1209"/>
      <c r="L276" s="1210"/>
      <c r="M276" s="1209"/>
      <c r="N276" s="1210"/>
      <c r="O276" s="1210"/>
      <c r="P276" s="1210"/>
      <c r="Q276" s="1211"/>
      <c r="R276" s="1212"/>
      <c r="S276" s="747"/>
      <c r="T276" s="1027"/>
      <c r="U276" s="984"/>
      <c r="V276" s="630">
        <f t="shared" si="93"/>
      </c>
      <c r="X276" s="688"/>
    </row>
    <row r="277" spans="1:24" s="686" customFormat="1" ht="27.75" customHeight="1">
      <c r="A277" s="1274" t="s">
        <v>346</v>
      </c>
      <c r="B277" s="1275"/>
      <c r="C277" s="1275"/>
      <c r="D277" s="1275"/>
      <c r="E277" s="1275"/>
      <c r="F277" s="1275"/>
      <c r="G277" s="1275"/>
      <c r="H277" s="1214">
        <f>SUM(H275:H276)</f>
        <v>0</v>
      </c>
      <c r="I277" s="580">
        <f>SUM(I275:I276)</f>
        <v>10553</v>
      </c>
      <c r="J277" s="1214">
        <f>SUM(J275:J276)</f>
        <v>0</v>
      </c>
      <c r="K277" s="580">
        <f>SUM(K275:K276)</f>
        <v>8053</v>
      </c>
      <c r="L277" s="580">
        <f>SUM(L275:L276)</f>
        <v>8053</v>
      </c>
      <c r="M277" s="1214">
        <f aca="true" t="shared" si="97" ref="M277:R277">SUM(M275:M276)</f>
        <v>0</v>
      </c>
      <c r="N277" s="580">
        <f t="shared" si="97"/>
        <v>16930</v>
      </c>
      <c r="O277" s="580">
        <f t="shared" si="97"/>
        <v>6377</v>
      </c>
      <c r="P277" s="580">
        <f t="shared" si="97"/>
        <v>20260</v>
      </c>
      <c r="Q277" s="580">
        <f t="shared" si="97"/>
        <v>0</v>
      </c>
      <c r="R277" s="580">
        <f t="shared" si="97"/>
        <v>27112</v>
      </c>
      <c r="S277" s="580">
        <f>SUM(S275:S276)</f>
        <v>0</v>
      </c>
      <c r="T277" s="778">
        <f>SUM(T275:T276)</f>
        <v>0</v>
      </c>
      <c r="U277" s="985"/>
      <c r="V277" s="630">
        <f t="shared" si="93"/>
      </c>
      <c r="X277" s="687"/>
    </row>
    <row r="278" spans="1:22" s="617" customFormat="1" ht="27.75" customHeight="1">
      <c r="A278" s="790">
        <v>20</v>
      </c>
      <c r="B278" s="769">
        <v>2</v>
      </c>
      <c r="C278" s="769">
        <v>1</v>
      </c>
      <c r="D278" s="1106">
        <v>965</v>
      </c>
      <c r="E278" s="770">
        <v>110</v>
      </c>
      <c r="F278" s="770" t="s">
        <v>121</v>
      </c>
      <c r="G278" s="804" t="s">
        <v>174</v>
      </c>
      <c r="H278" s="1213"/>
      <c r="I278" s="596">
        <v>76826</v>
      </c>
      <c r="J278" s="1213"/>
      <c r="K278" s="596">
        <f>L278-J278</f>
        <v>82326</v>
      </c>
      <c r="L278" s="575">
        <v>82326</v>
      </c>
      <c r="M278" s="1213"/>
      <c r="N278" s="575">
        <v>73632</v>
      </c>
      <c r="O278" s="836">
        <f>N278-I278</f>
        <v>-3194</v>
      </c>
      <c r="P278" s="575">
        <v>73632</v>
      </c>
      <c r="Q278" s="1069"/>
      <c r="R278" s="575">
        <v>63600</v>
      </c>
      <c r="S278" s="747"/>
      <c r="T278" s="675">
        <v>0</v>
      </c>
      <c r="U278" s="984"/>
      <c r="V278" s="630">
        <f t="shared" si="93"/>
      </c>
    </row>
    <row r="279" spans="1:22" s="617" customFormat="1" ht="27.75" customHeight="1">
      <c r="A279" s="1274" t="s">
        <v>347</v>
      </c>
      <c r="B279" s="1275"/>
      <c r="C279" s="1275"/>
      <c r="D279" s="1275"/>
      <c r="E279" s="1275"/>
      <c r="F279" s="1275"/>
      <c r="G279" s="1275"/>
      <c r="H279" s="1214">
        <f>SUM(H278)</f>
        <v>0</v>
      </c>
      <c r="I279" s="580">
        <f aca="true" t="shared" si="98" ref="I279:T279">SUM(I278)</f>
        <v>76826</v>
      </c>
      <c r="J279" s="1214">
        <f t="shared" si="98"/>
        <v>0</v>
      </c>
      <c r="K279" s="580">
        <f t="shared" si="98"/>
        <v>82326</v>
      </c>
      <c r="L279" s="580">
        <f t="shared" si="98"/>
        <v>82326</v>
      </c>
      <c r="M279" s="1214">
        <f t="shared" si="98"/>
        <v>0</v>
      </c>
      <c r="N279" s="580">
        <f t="shared" si="98"/>
        <v>73632</v>
      </c>
      <c r="O279" s="580">
        <f t="shared" si="98"/>
        <v>-3194</v>
      </c>
      <c r="P279" s="580">
        <f t="shared" si="98"/>
        <v>73632</v>
      </c>
      <c r="Q279" s="580">
        <f t="shared" si="98"/>
        <v>0</v>
      </c>
      <c r="R279" s="580">
        <f t="shared" si="98"/>
        <v>63600</v>
      </c>
      <c r="S279" s="580">
        <f t="shared" si="98"/>
        <v>0</v>
      </c>
      <c r="T279" s="613">
        <f t="shared" si="98"/>
        <v>0</v>
      </c>
      <c r="U279" s="984"/>
      <c r="V279" s="630">
        <f t="shared" si="93"/>
      </c>
    </row>
    <row r="280" spans="1:22" s="617" customFormat="1" ht="27.75" customHeight="1">
      <c r="A280" s="796">
        <v>20</v>
      </c>
      <c r="B280" s="798">
        <v>3</v>
      </c>
      <c r="C280" s="798">
        <v>1</v>
      </c>
      <c r="D280" s="1110">
        <v>970</v>
      </c>
      <c r="E280" s="800">
        <v>110</v>
      </c>
      <c r="F280" s="800" t="s">
        <v>175</v>
      </c>
      <c r="G280" s="839" t="s">
        <v>826</v>
      </c>
      <c r="H280" s="1215"/>
      <c r="I280" s="589">
        <v>2119</v>
      </c>
      <c r="J280" s="1220"/>
      <c r="K280" s="589">
        <f>L280-J280</f>
        <v>2648</v>
      </c>
      <c r="L280" s="589">
        <f>2119+529</f>
        <v>2648</v>
      </c>
      <c r="M280" s="1220"/>
      <c r="N280" s="589">
        <v>2918</v>
      </c>
      <c r="O280" s="623">
        <f>N280-I280</f>
        <v>799</v>
      </c>
      <c r="P280" s="589">
        <v>3295</v>
      </c>
      <c r="Q280" s="623"/>
      <c r="R280" s="589">
        <v>3295</v>
      </c>
      <c r="S280" s="802"/>
      <c r="T280" s="676">
        <v>0</v>
      </c>
      <c r="U280" s="984"/>
      <c r="V280" s="630">
        <f t="shared" si="93"/>
      </c>
    </row>
    <row r="281" spans="1:22" s="617" customFormat="1" ht="27.75" customHeight="1">
      <c r="A281" s="756">
        <v>20</v>
      </c>
      <c r="B281" s="757">
        <v>3</v>
      </c>
      <c r="C281" s="757">
        <v>1</v>
      </c>
      <c r="D281" s="1100">
        <v>972</v>
      </c>
      <c r="E281" s="740">
        <v>110</v>
      </c>
      <c r="F281" s="740" t="s">
        <v>175</v>
      </c>
      <c r="G281" s="787" t="s">
        <v>1134</v>
      </c>
      <c r="H281" s="1216"/>
      <c r="I281" s="579">
        <v>14000</v>
      </c>
      <c r="J281" s="1221"/>
      <c r="K281" s="579">
        <f>L281-J281</f>
        <v>105</v>
      </c>
      <c r="L281" s="579">
        <v>105</v>
      </c>
      <c r="M281" s="1221"/>
      <c r="N281" s="579">
        <f>7700+3000</f>
        <v>10700</v>
      </c>
      <c r="O281" s="579">
        <f>N281-I281</f>
        <v>-3300</v>
      </c>
      <c r="P281" s="579">
        <f>15500+6000</f>
        <v>21500</v>
      </c>
      <c r="Q281" s="579"/>
      <c r="R281" s="579">
        <f>25500+10000</f>
        <v>35500</v>
      </c>
      <c r="S281" s="624"/>
      <c r="T281" s="625">
        <v>0</v>
      </c>
      <c r="U281" s="984"/>
      <c r="V281" s="630">
        <f t="shared" si="93"/>
      </c>
    </row>
    <row r="282" spans="1:22" s="617" customFormat="1" ht="27.75" customHeight="1">
      <c r="A282" s="790">
        <v>20</v>
      </c>
      <c r="B282" s="769">
        <v>3</v>
      </c>
      <c r="C282" s="769">
        <v>1</v>
      </c>
      <c r="D282" s="1106">
        <v>975</v>
      </c>
      <c r="E282" s="770">
        <v>110</v>
      </c>
      <c r="F282" s="770" t="s">
        <v>175</v>
      </c>
      <c r="G282" s="805" t="s">
        <v>668</v>
      </c>
      <c r="H282" s="1217"/>
      <c r="I282" s="588">
        <v>1000</v>
      </c>
      <c r="J282" s="1222"/>
      <c r="K282" s="579">
        <f>L282-J282</f>
        <v>1000</v>
      </c>
      <c r="L282" s="588">
        <v>1000</v>
      </c>
      <c r="M282" s="1222"/>
      <c r="N282" s="588">
        <v>0</v>
      </c>
      <c r="O282" s="579">
        <f>N282-I282</f>
        <v>-1000</v>
      </c>
      <c r="P282" s="588">
        <v>0</v>
      </c>
      <c r="Q282" s="746"/>
      <c r="R282" s="588">
        <v>0</v>
      </c>
      <c r="S282" s="747"/>
      <c r="T282" s="675">
        <v>0</v>
      </c>
      <c r="U282" s="984"/>
      <c r="V282" s="630">
        <f t="shared" si="93"/>
      </c>
    </row>
    <row r="283" spans="1:22" s="617" customFormat="1" ht="27.75" customHeight="1" thickBot="1">
      <c r="A283" s="1296" t="s">
        <v>348</v>
      </c>
      <c r="B283" s="1297"/>
      <c r="C283" s="1297"/>
      <c r="D283" s="1297"/>
      <c r="E283" s="1297"/>
      <c r="F283" s="1297"/>
      <c r="G283" s="1297"/>
      <c r="H283" s="1218">
        <f>SUM(H280:H282)</f>
        <v>0</v>
      </c>
      <c r="I283" s="1218">
        <f aca="true" t="shared" si="99" ref="I283:R283">SUM(I280:I282)</f>
        <v>17119</v>
      </c>
      <c r="J283" s="1218">
        <f t="shared" si="99"/>
        <v>0</v>
      </c>
      <c r="K283" s="812">
        <f t="shared" si="99"/>
        <v>3753</v>
      </c>
      <c r="L283" s="812">
        <f t="shared" si="99"/>
        <v>3753</v>
      </c>
      <c r="M283" s="1218">
        <f t="shared" si="99"/>
        <v>0</v>
      </c>
      <c r="N283" s="812">
        <f t="shared" si="99"/>
        <v>13618</v>
      </c>
      <c r="O283" s="812">
        <f t="shared" si="99"/>
        <v>-3501</v>
      </c>
      <c r="P283" s="812">
        <f t="shared" si="99"/>
        <v>24795</v>
      </c>
      <c r="Q283" s="812">
        <f t="shared" si="99"/>
        <v>0</v>
      </c>
      <c r="R283" s="812">
        <f t="shared" si="99"/>
        <v>38795</v>
      </c>
      <c r="S283" s="812">
        <f>SUM(S280)</f>
        <v>0</v>
      </c>
      <c r="T283" s="678">
        <f>SUM(T280)</f>
        <v>0</v>
      </c>
      <c r="U283" s="984"/>
      <c r="V283" s="630">
        <f t="shared" si="93"/>
      </c>
    </row>
    <row r="284" spans="1:24" s="686" customFormat="1" ht="23.25" customHeight="1" thickBot="1">
      <c r="A284" s="1262" t="s">
        <v>349</v>
      </c>
      <c r="B284" s="1263"/>
      <c r="C284" s="1263"/>
      <c r="D284" s="1263"/>
      <c r="E284" s="1263"/>
      <c r="F284" s="1263"/>
      <c r="G284" s="1264"/>
      <c r="H284" s="1219">
        <f>H277+H279+H283</f>
        <v>0</v>
      </c>
      <c r="I284" s="590">
        <f aca="true" t="shared" si="100" ref="I284:O284">I277+I279+I283</f>
        <v>104498</v>
      </c>
      <c r="J284" s="1219">
        <f t="shared" si="100"/>
        <v>0</v>
      </c>
      <c r="K284" s="590">
        <f t="shared" si="100"/>
        <v>94132</v>
      </c>
      <c r="L284" s="590">
        <f t="shared" si="100"/>
        <v>94132</v>
      </c>
      <c r="M284" s="590">
        <f t="shared" si="100"/>
        <v>0</v>
      </c>
      <c r="N284" s="590">
        <f t="shared" si="100"/>
        <v>104180</v>
      </c>
      <c r="O284" s="590">
        <f t="shared" si="100"/>
        <v>-318</v>
      </c>
      <c r="P284" s="590">
        <f>P277+P279+P283</f>
        <v>118687</v>
      </c>
      <c r="Q284" s="590">
        <f>Q277+Q279+Q283</f>
        <v>0</v>
      </c>
      <c r="R284" s="590">
        <f>R277+R279+R283</f>
        <v>129507</v>
      </c>
      <c r="S284" s="590">
        <f>S277+S279+S283</f>
        <v>0</v>
      </c>
      <c r="T284" s="590">
        <f>T277+T279+T283</f>
        <v>0</v>
      </c>
      <c r="U284" s="985"/>
      <c r="V284" s="630">
        <f t="shared" si="93"/>
      </c>
      <c r="X284" s="687"/>
    </row>
    <row r="285" spans="1:26" s="692" customFormat="1" ht="34.5" customHeight="1" thickBot="1">
      <c r="A285" s="1267" t="s">
        <v>72</v>
      </c>
      <c r="B285" s="1268"/>
      <c r="C285" s="1268"/>
      <c r="D285" s="1268"/>
      <c r="E285" s="1268"/>
      <c r="F285" s="1268"/>
      <c r="G285" s="1268"/>
      <c r="H285" s="816">
        <f aca="true" t="shared" si="101" ref="H285:T285">H108+H120+H142+H154+H167+H177+H197+H213+H219+H260+H264+H273+H284</f>
        <v>862171.0499999999</v>
      </c>
      <c r="I285" s="816">
        <f t="shared" si="101"/>
        <v>2004425</v>
      </c>
      <c r="J285" s="816">
        <f t="shared" si="101"/>
        <v>1890207.9800000002</v>
      </c>
      <c r="K285" s="816">
        <f t="shared" si="101"/>
        <v>403018.88</v>
      </c>
      <c r="L285" s="816">
        <f>L108+L120+L142+L154+L167+L177+L197+L213+L219+L260+L264+L273+L284</f>
        <v>2293226.8600000003</v>
      </c>
      <c r="M285" s="816">
        <f>M108+M120+M142+M154+M167+M177+M197+M213+M219+M260+M264+M273+M284</f>
        <v>328139.42</v>
      </c>
      <c r="N285" s="816">
        <f t="shared" si="101"/>
        <v>2223863</v>
      </c>
      <c r="O285" s="816">
        <f t="shared" si="101"/>
        <v>203438</v>
      </c>
      <c r="P285" s="816">
        <f t="shared" si="101"/>
        <v>2088072</v>
      </c>
      <c r="Q285" s="816">
        <f t="shared" si="101"/>
        <v>0</v>
      </c>
      <c r="R285" s="816">
        <f t="shared" si="101"/>
        <v>2097955</v>
      </c>
      <c r="S285" s="816">
        <f t="shared" si="101"/>
        <v>44418.93</v>
      </c>
      <c r="T285" s="816">
        <f t="shared" si="101"/>
        <v>2981854.05</v>
      </c>
      <c r="U285" s="806"/>
      <c r="V285" s="630">
        <f t="shared" si="93"/>
      </c>
      <c r="X285" s="684"/>
      <c r="Z285" s="684"/>
    </row>
    <row r="286" spans="1:26" s="692" customFormat="1" ht="34.5" customHeight="1" thickBot="1">
      <c r="A286" s="807"/>
      <c r="B286" s="808"/>
      <c r="C286" s="808"/>
      <c r="D286" s="808"/>
      <c r="E286" s="808"/>
      <c r="F286" s="808"/>
      <c r="G286" s="808"/>
      <c r="H286" s="843"/>
      <c r="I286" s="814"/>
      <c r="J286" s="814"/>
      <c r="K286" s="814"/>
      <c r="L286" s="815"/>
      <c r="M286" s="843"/>
      <c r="N286" s="843"/>
      <c r="O286" s="1223"/>
      <c r="P286" s="1223"/>
      <c r="Q286" s="814"/>
      <c r="R286" s="814"/>
      <c r="S286" s="814"/>
      <c r="T286" s="843"/>
      <c r="U286" s="661"/>
      <c r="V286" s="630">
        <f t="shared" si="93"/>
      </c>
      <c r="X286" s="684"/>
      <c r="Z286" s="684"/>
    </row>
    <row r="287" spans="1:26" s="530" customFormat="1" ht="34.5" customHeight="1" thickBot="1">
      <c r="A287" s="1265" t="s">
        <v>73</v>
      </c>
      <c r="B287" s="1266"/>
      <c r="C287" s="1266"/>
      <c r="D287" s="1266"/>
      <c r="E287" s="1266"/>
      <c r="F287" s="1266"/>
      <c r="G287" s="1266"/>
      <c r="H287" s="1266"/>
      <c r="I287" s="1266"/>
      <c r="J287" s="1266"/>
      <c r="K287" s="1266"/>
      <c r="L287" s="1266"/>
      <c r="M287" s="1266"/>
      <c r="N287" s="1266"/>
      <c r="O287" s="1266"/>
      <c r="P287" s="1266"/>
      <c r="Q287" s="1266"/>
      <c r="R287" s="1266"/>
      <c r="S287" s="1266"/>
      <c r="T287" s="1266"/>
      <c r="V287" s="630">
        <f t="shared" si="93"/>
      </c>
      <c r="X287" s="689"/>
      <c r="Y287" s="689"/>
      <c r="Z287" s="689"/>
    </row>
    <row r="288" spans="1:26" s="481" customFormat="1" ht="56.25" customHeight="1" thickBot="1">
      <c r="A288" s="373" t="str">
        <f aca="true" t="shared" si="102" ref="A288:T288">A5</f>
        <v>Missione</v>
      </c>
      <c r="B288" s="374" t="str">
        <f t="shared" si="102"/>
        <v>Programma</v>
      </c>
      <c r="C288" s="374" t="str">
        <f t="shared" si="102"/>
        <v>Titolo</v>
      </c>
      <c r="D288" s="374" t="str">
        <f t="shared" si="102"/>
        <v>Capitolo</v>
      </c>
      <c r="E288" s="374" t="str">
        <f t="shared" si="102"/>
        <v>Codice PdC</v>
      </c>
      <c r="F288" s="374" t="str">
        <f t="shared" si="102"/>
        <v>Piano dei conti</v>
      </c>
      <c r="G288" s="374" t="str">
        <f t="shared" si="102"/>
        <v>DESCRIZIONE</v>
      </c>
      <c r="H288" s="374" t="str">
        <f t="shared" si="102"/>
        <v>RESIDUI PRESUNTI AL 17.01.2023</v>
      </c>
      <c r="I288" s="374" t="str">
        <f t="shared" si="102"/>
        <v>PREVISIONE INIZIALE 2022</v>
      </c>
      <c r="J288" s="374" t="str">
        <f t="shared" si="102"/>
        <v>IMPEGNI AL 17.01.2023</v>
      </c>
      <c r="K288" s="374" t="str">
        <f t="shared" si="102"/>
        <v>DIFFERENZA TRA ASSESTATO E IMPEGNATO</v>
      </c>
      <c r="L288" s="591" t="str">
        <f t="shared" si="102"/>
        <v>PREVISIONE 2022 ASSESTATA AL 17.01.2023</v>
      </c>
      <c r="M288" s="591" t="str">
        <f t="shared" si="102"/>
        <v>PREVISIONE 2022                    (solo FPV)</v>
      </c>
      <c r="N288" s="591" t="str">
        <f t="shared" si="102"/>
        <v>PREVISIONE 2023</v>
      </c>
      <c r="O288" s="374" t="str">
        <f t="shared" si="102"/>
        <v>DIFFERENZE TRA PREVISIONI 2023 E PREVISIONI INIZIALI 2022</v>
      </c>
      <c r="P288" s="374" t="str">
        <f t="shared" si="102"/>
        <v>PREVISIONE 2024</v>
      </c>
      <c r="Q288" s="374" t="str">
        <f t="shared" si="102"/>
        <v>PREVISIONE 2024                      (solo FPV)</v>
      </c>
      <c r="R288" s="374" t="str">
        <f t="shared" si="102"/>
        <v>PREVISIONE 2025</v>
      </c>
      <c r="S288" s="376" t="str">
        <f t="shared" si="102"/>
        <v>PREVISIONE 2024                      (solo FPV)</v>
      </c>
      <c r="T288" s="668" t="str">
        <f t="shared" si="102"/>
        <v>PEVISIONE DI CASSA 2023</v>
      </c>
      <c r="V288" s="630"/>
      <c r="X288" s="685"/>
      <c r="Y288" s="685"/>
      <c r="Z288" s="685"/>
    </row>
    <row r="289" spans="1:26" s="482" customFormat="1" ht="21" customHeight="1" thickBot="1">
      <c r="A289" s="1259" t="s">
        <v>30</v>
      </c>
      <c r="B289" s="1260"/>
      <c r="C289" s="1260"/>
      <c r="D289" s="1260"/>
      <c r="E289" s="1260"/>
      <c r="F289" s="1260"/>
      <c r="G289" s="1261"/>
      <c r="H289" s="1269"/>
      <c r="I289" s="1270"/>
      <c r="J289" s="1270"/>
      <c r="K289" s="1270"/>
      <c r="L289" s="1270"/>
      <c r="M289" s="1270"/>
      <c r="N289" s="1270"/>
      <c r="O289" s="1270"/>
      <c r="P289" s="1270"/>
      <c r="Q289" s="1270"/>
      <c r="R289" s="1270"/>
      <c r="S289" s="1270"/>
      <c r="T289" s="1270"/>
      <c r="V289" s="630">
        <f t="shared" si="93"/>
      </c>
      <c r="X289" s="686"/>
      <c r="Y289" s="686"/>
      <c r="Z289" s="686"/>
    </row>
    <row r="290" spans="1:26" s="478" customFormat="1" ht="27.75" customHeight="1">
      <c r="A290" s="381">
        <v>1</v>
      </c>
      <c r="B290" s="483">
        <v>1</v>
      </c>
      <c r="C290" s="483">
        <v>2</v>
      </c>
      <c r="D290" s="1132">
        <v>2031</v>
      </c>
      <c r="E290" s="952">
        <v>202</v>
      </c>
      <c r="F290" s="452" t="s">
        <v>886</v>
      </c>
      <c r="G290" s="571" t="s">
        <v>610</v>
      </c>
      <c r="H290" s="487">
        <v>32972.83</v>
      </c>
      <c r="I290" s="487"/>
      <c r="J290" s="487">
        <v>30411.33</v>
      </c>
      <c r="K290" s="487"/>
      <c r="L290" s="1186">
        <v>0</v>
      </c>
      <c r="M290" s="1165">
        <v>30411.33</v>
      </c>
      <c r="N290" s="579"/>
      <c r="O290" s="579"/>
      <c r="P290" s="579"/>
      <c r="Q290" s="624"/>
      <c r="R290" s="579"/>
      <c r="S290" s="611"/>
      <c r="T290" s="1493">
        <f>H290+N290</f>
        <v>32972.83</v>
      </c>
      <c r="V290" s="630">
        <f t="shared" si="93"/>
      </c>
      <c r="X290" s="617"/>
      <c r="Y290" s="617"/>
      <c r="Z290" s="617"/>
    </row>
    <row r="291" spans="1:26" s="478" customFormat="1" ht="27.75" customHeight="1">
      <c r="A291" s="381">
        <v>1</v>
      </c>
      <c r="B291" s="483">
        <v>1</v>
      </c>
      <c r="C291" s="483">
        <v>2</v>
      </c>
      <c r="D291" s="1132">
        <v>2032</v>
      </c>
      <c r="E291" s="952">
        <v>202</v>
      </c>
      <c r="F291" s="452" t="s">
        <v>886</v>
      </c>
      <c r="G291" s="571" t="s">
        <v>1176</v>
      </c>
      <c r="H291" s="487"/>
      <c r="I291" s="487"/>
      <c r="J291" s="487"/>
      <c r="K291" s="487"/>
      <c r="L291" s="1186">
        <v>10000</v>
      </c>
      <c r="M291" s="579"/>
      <c r="N291" s="579"/>
      <c r="O291" s="579"/>
      <c r="P291" s="579"/>
      <c r="Q291" s="624"/>
      <c r="R291" s="579"/>
      <c r="S291" s="491"/>
      <c r="T291" s="622">
        <f>H291+N291</f>
        <v>0</v>
      </c>
      <c r="V291" s="630">
        <f t="shared" si="93"/>
      </c>
      <c r="X291" s="617"/>
      <c r="Y291" s="617"/>
      <c r="Z291" s="617"/>
    </row>
    <row r="292" spans="1:26" s="478" customFormat="1" ht="27.75" customHeight="1">
      <c r="A292" s="386">
        <v>1</v>
      </c>
      <c r="B292" s="493">
        <v>1</v>
      </c>
      <c r="C292" s="493">
        <v>2</v>
      </c>
      <c r="D292" s="1133">
        <v>2095</v>
      </c>
      <c r="E292" s="1135">
        <v>202</v>
      </c>
      <c r="F292" s="453" t="s">
        <v>213</v>
      </c>
      <c r="G292" s="571" t="s">
        <v>1125</v>
      </c>
      <c r="H292" s="496">
        <v>45870.47</v>
      </c>
      <c r="I292" s="496"/>
      <c r="J292" s="496">
        <v>134646</v>
      </c>
      <c r="K292" s="496"/>
      <c r="L292" s="1187">
        <v>125000</v>
      </c>
      <c r="M292" s="1162">
        <v>22256.2</v>
      </c>
      <c r="N292" s="1460">
        <v>90000</v>
      </c>
      <c r="O292" s="576"/>
      <c r="P292" s="576"/>
      <c r="Q292" s="621"/>
      <c r="R292" s="576"/>
      <c r="S292" s="498"/>
      <c r="T292" s="1493">
        <f>H292+N292</f>
        <v>135870.47</v>
      </c>
      <c r="V292" s="630">
        <f t="shared" si="93"/>
      </c>
      <c r="X292" s="617"/>
      <c r="Y292" s="617"/>
      <c r="Z292" s="617"/>
    </row>
    <row r="293" spans="1:26" s="478" customFormat="1" ht="27.75" customHeight="1">
      <c r="A293" s="414">
        <v>1</v>
      </c>
      <c r="B293" s="518">
        <v>1</v>
      </c>
      <c r="C293" s="518">
        <v>2</v>
      </c>
      <c r="D293" s="1134">
        <v>2096</v>
      </c>
      <c r="E293" s="1136">
        <v>202</v>
      </c>
      <c r="F293" s="439" t="s">
        <v>886</v>
      </c>
      <c r="G293" s="527" t="s">
        <v>1126</v>
      </c>
      <c r="H293" s="442"/>
      <c r="I293" s="442"/>
      <c r="J293" s="442">
        <v>3600</v>
      </c>
      <c r="K293" s="442"/>
      <c r="L293" s="1188">
        <v>0</v>
      </c>
      <c r="M293" s="1166">
        <v>3600</v>
      </c>
      <c r="N293" s="588"/>
      <c r="O293" s="588"/>
      <c r="P293" s="588"/>
      <c r="Q293" s="747"/>
      <c r="R293" s="588"/>
      <c r="S293" s="522"/>
      <c r="T293" s="675">
        <f>H293+N293</f>
        <v>0</v>
      </c>
      <c r="V293" s="630">
        <f t="shared" si="93"/>
      </c>
      <c r="X293" s="617"/>
      <c r="Y293" s="617"/>
      <c r="Z293" s="617"/>
    </row>
    <row r="294" spans="1:26" s="478" customFormat="1" ht="27.75" customHeight="1">
      <c r="A294" s="1271" t="s">
        <v>350</v>
      </c>
      <c r="B294" s="1272"/>
      <c r="C294" s="1272"/>
      <c r="D294" s="1272"/>
      <c r="E294" s="1272"/>
      <c r="F294" s="1272"/>
      <c r="G294" s="1273"/>
      <c r="H294" s="1486">
        <f>SUM(H290:H293)</f>
        <v>78843.3</v>
      </c>
      <c r="I294" s="580">
        <f aca="true" t="shared" si="103" ref="I294:T294">SUM(I290:I293)</f>
        <v>0</v>
      </c>
      <c r="J294" s="580">
        <f t="shared" si="103"/>
        <v>168657.33000000002</v>
      </c>
      <c r="K294" s="580">
        <f t="shared" si="103"/>
        <v>0</v>
      </c>
      <c r="L294" s="580">
        <f t="shared" si="103"/>
        <v>135000</v>
      </c>
      <c r="M294" s="580">
        <f t="shared" si="103"/>
        <v>56267.53</v>
      </c>
      <c r="N294" s="580">
        <f t="shared" si="103"/>
        <v>90000</v>
      </c>
      <c r="O294" s="580">
        <f t="shared" si="103"/>
        <v>0</v>
      </c>
      <c r="P294" s="580">
        <f t="shared" si="103"/>
        <v>0</v>
      </c>
      <c r="Q294" s="612">
        <f t="shared" si="103"/>
        <v>0</v>
      </c>
      <c r="R294" s="612">
        <f t="shared" si="103"/>
        <v>0</v>
      </c>
      <c r="S294" s="517">
        <f t="shared" si="103"/>
        <v>0</v>
      </c>
      <c r="T294" s="613">
        <f t="shared" si="103"/>
        <v>168843.3</v>
      </c>
      <c r="V294" s="630">
        <f t="shared" si="93"/>
      </c>
      <c r="X294" s="617"/>
      <c r="Y294" s="617"/>
      <c r="Z294" s="617"/>
    </row>
    <row r="295" spans="1:26" s="478" customFormat="1" ht="27.75" customHeight="1">
      <c r="A295" s="381">
        <v>1</v>
      </c>
      <c r="B295" s="483">
        <v>3</v>
      </c>
      <c r="C295" s="483">
        <v>2</v>
      </c>
      <c r="D295" s="1132">
        <v>1506</v>
      </c>
      <c r="E295" s="952">
        <v>205</v>
      </c>
      <c r="F295" s="452" t="s">
        <v>902</v>
      </c>
      <c r="G295" s="531" t="s">
        <v>1030</v>
      </c>
      <c r="H295" s="487"/>
      <c r="I295" s="487"/>
      <c r="J295" s="487"/>
      <c r="K295" s="487"/>
      <c r="L295" s="1186">
        <v>7098</v>
      </c>
      <c r="M295" s="579"/>
      <c r="N295" s="1458">
        <f>ENTRATA!K125</f>
        <v>6558</v>
      </c>
      <c r="O295" s="738"/>
      <c r="P295" s="738"/>
      <c r="Q295" s="623"/>
      <c r="R295" s="579"/>
      <c r="S295" s="491"/>
      <c r="T295" s="1503">
        <f>H295+N295</f>
        <v>6558</v>
      </c>
      <c r="V295" s="630">
        <f t="shared" si="93"/>
      </c>
      <c r="X295" s="617"/>
      <c r="Y295" s="617"/>
      <c r="Z295" s="617"/>
    </row>
    <row r="296" spans="1:26" s="478" customFormat="1" ht="27.75" customHeight="1">
      <c r="A296" s="406">
        <v>1</v>
      </c>
      <c r="B296" s="501">
        <v>3</v>
      </c>
      <c r="C296" s="501">
        <v>2</v>
      </c>
      <c r="D296" s="508"/>
      <c r="E296" s="501"/>
      <c r="F296" s="453"/>
      <c r="G296" s="500"/>
      <c r="H296" s="505"/>
      <c r="I296" s="505"/>
      <c r="J296" s="505"/>
      <c r="K296" s="505"/>
      <c r="L296" s="577"/>
      <c r="M296" s="577"/>
      <c r="N296" s="577"/>
      <c r="O296" s="619"/>
      <c r="P296" s="619"/>
      <c r="Q296" s="619"/>
      <c r="R296" s="577"/>
      <c r="S296" s="507"/>
      <c r="T296" s="622">
        <f>H296+N296</f>
        <v>0</v>
      </c>
      <c r="V296" s="630">
        <f t="shared" si="93"/>
      </c>
      <c r="X296" s="617"/>
      <c r="Y296" s="617"/>
      <c r="Z296" s="617"/>
    </row>
    <row r="297" spans="1:26" s="478" customFormat="1" ht="27.75" customHeight="1" thickBot="1">
      <c r="A297" s="406">
        <v>1</v>
      </c>
      <c r="B297" s="503">
        <v>3</v>
      </c>
      <c r="C297" s="503">
        <v>2</v>
      </c>
      <c r="D297" s="508"/>
      <c r="E297" s="501"/>
      <c r="F297" s="502"/>
      <c r="G297" s="516"/>
      <c r="H297" s="504"/>
      <c r="I297" s="504"/>
      <c r="J297" s="504"/>
      <c r="K297" s="504"/>
      <c r="L297" s="577"/>
      <c r="M297" s="577"/>
      <c r="N297" s="577"/>
      <c r="O297" s="619"/>
      <c r="P297" s="619"/>
      <c r="Q297" s="619"/>
      <c r="R297" s="577"/>
      <c r="S297" s="507"/>
      <c r="T297" s="675">
        <f>H297+N297</f>
        <v>0</v>
      </c>
      <c r="V297" s="630">
        <f t="shared" si="93"/>
      </c>
      <c r="X297" s="617"/>
      <c r="Y297" s="617"/>
      <c r="Z297" s="617"/>
    </row>
    <row r="298" spans="1:26" s="478" customFormat="1" ht="27.75" customHeight="1" thickBot="1">
      <c r="A298" s="1259" t="s">
        <v>1028</v>
      </c>
      <c r="B298" s="1260"/>
      <c r="C298" s="1260"/>
      <c r="D298" s="1260"/>
      <c r="E298" s="1260"/>
      <c r="F298" s="1260"/>
      <c r="G298" s="1303"/>
      <c r="H298" s="1059">
        <f aca="true" t="shared" si="104" ref="H298:Q298">SUM(H295:H297)</f>
        <v>0</v>
      </c>
      <c r="I298" s="1059">
        <f t="shared" si="104"/>
        <v>0</v>
      </c>
      <c r="J298" s="1059"/>
      <c r="K298" s="1059"/>
      <c r="L298" s="1060">
        <f t="shared" si="104"/>
        <v>7098</v>
      </c>
      <c r="M298" s="1060">
        <f t="shared" si="104"/>
        <v>0</v>
      </c>
      <c r="N298" s="1060">
        <f t="shared" si="104"/>
        <v>6558</v>
      </c>
      <c r="O298" s="1060">
        <f t="shared" si="104"/>
        <v>0</v>
      </c>
      <c r="P298" s="1060">
        <f t="shared" si="104"/>
        <v>0</v>
      </c>
      <c r="Q298" s="1061">
        <f t="shared" si="104"/>
        <v>0</v>
      </c>
      <c r="R298" s="1061">
        <f>SUM(R295:R297)</f>
        <v>0</v>
      </c>
      <c r="S298" s="1062">
        <f>SUM(S295:S297)</f>
        <v>0</v>
      </c>
      <c r="T298" s="586">
        <f>SUM(T295:T297)</f>
        <v>6558</v>
      </c>
      <c r="V298" s="630">
        <f t="shared" si="93"/>
      </c>
      <c r="X298" s="617"/>
      <c r="Y298" s="617"/>
      <c r="Z298" s="617"/>
    </row>
    <row r="299" spans="1:26" s="478" customFormat="1" ht="27.75" customHeight="1">
      <c r="A299" s="604">
        <v>1</v>
      </c>
      <c r="B299" s="605">
        <v>8</v>
      </c>
      <c r="C299" s="605">
        <v>2</v>
      </c>
      <c r="D299" s="1132">
        <v>1532</v>
      </c>
      <c r="E299" s="606">
        <v>205</v>
      </c>
      <c r="F299" s="1190" t="s">
        <v>902</v>
      </c>
      <c r="G299" s="1064" t="s">
        <v>1106</v>
      </c>
      <c r="H299" s="608"/>
      <c r="I299" s="608"/>
      <c r="J299" s="608"/>
      <c r="K299" s="608"/>
      <c r="L299" s="1191">
        <v>79992</v>
      </c>
      <c r="M299" s="1065"/>
      <c r="N299" s="1459">
        <v>79992</v>
      </c>
      <c r="O299" s="1065"/>
      <c r="P299" s="1065"/>
      <c r="Q299" s="1065"/>
      <c r="R299" s="1065"/>
      <c r="S299" s="1066"/>
      <c r="T299" s="1503">
        <f>H299+N299</f>
        <v>79992</v>
      </c>
      <c r="V299" s="630">
        <f t="shared" si="93"/>
      </c>
      <c r="X299" s="617"/>
      <c r="Y299" s="617"/>
      <c r="Z299" s="617"/>
    </row>
    <row r="300" spans="1:26" s="478" customFormat="1" ht="27.75" customHeight="1">
      <c r="A300" s="386">
        <v>1</v>
      </c>
      <c r="B300" s="499">
        <v>8</v>
      </c>
      <c r="C300" s="499">
        <v>2</v>
      </c>
      <c r="D300" s="1132">
        <v>1533</v>
      </c>
      <c r="E300" s="453">
        <v>205</v>
      </c>
      <c r="F300" s="453" t="s">
        <v>902</v>
      </c>
      <c r="G300" s="533" t="s">
        <v>1109</v>
      </c>
      <c r="H300" s="496">
        <v>14000</v>
      </c>
      <c r="I300" s="496"/>
      <c r="J300" s="496">
        <v>14000</v>
      </c>
      <c r="K300" s="496"/>
      <c r="L300" s="1192">
        <v>14000</v>
      </c>
      <c r="M300" s="1058"/>
      <c r="N300" s="1460">
        <v>14000</v>
      </c>
      <c r="O300" s="1058"/>
      <c r="P300" s="1058"/>
      <c r="Q300" s="1058"/>
      <c r="R300" s="1058"/>
      <c r="S300" s="1057"/>
      <c r="T300" s="1493">
        <f>H300+N300</f>
        <v>28000</v>
      </c>
      <c r="V300" s="630">
        <f t="shared" si="93"/>
      </c>
      <c r="X300" s="617"/>
      <c r="Y300" s="617"/>
      <c r="Z300" s="617"/>
    </row>
    <row r="301" spans="1:26" s="478" customFormat="1" ht="27.75" customHeight="1">
      <c r="A301" s="386">
        <v>1</v>
      </c>
      <c r="B301" s="499">
        <v>8</v>
      </c>
      <c r="C301" s="499">
        <v>2</v>
      </c>
      <c r="D301" s="1132">
        <v>1534</v>
      </c>
      <c r="E301" s="453">
        <v>205</v>
      </c>
      <c r="F301" s="453" t="s">
        <v>902</v>
      </c>
      <c r="G301" s="533" t="s">
        <v>1110</v>
      </c>
      <c r="H301" s="496">
        <v>8504.99</v>
      </c>
      <c r="I301" s="496"/>
      <c r="J301" s="496">
        <v>8504.99</v>
      </c>
      <c r="K301" s="496"/>
      <c r="L301" s="1192">
        <v>8505</v>
      </c>
      <c r="M301" s="1058"/>
      <c r="N301" s="1460">
        <v>8505</v>
      </c>
      <c r="O301" s="1058"/>
      <c r="P301" s="1058"/>
      <c r="Q301" s="1058"/>
      <c r="R301" s="1058"/>
      <c r="S301" s="1057"/>
      <c r="T301" s="1493">
        <f>H301+N301</f>
        <v>17009.989999999998</v>
      </c>
      <c r="V301" s="630">
        <f t="shared" si="93"/>
      </c>
      <c r="X301" s="617"/>
      <c r="Y301" s="617"/>
      <c r="Z301" s="617"/>
    </row>
    <row r="302" spans="1:26" s="478" customFormat="1" ht="27.75" customHeight="1" thickBot="1">
      <c r="A302" s="406"/>
      <c r="B302" s="503"/>
      <c r="C302" s="503"/>
      <c r="D302" s="1132"/>
      <c r="E302" s="502"/>
      <c r="F302" s="503"/>
      <c r="G302" s="1189"/>
      <c r="H302" s="504"/>
      <c r="I302" s="504"/>
      <c r="J302" s="504"/>
      <c r="K302" s="504"/>
      <c r="L302" s="587"/>
      <c r="M302" s="1063"/>
      <c r="N302" s="1063"/>
      <c r="O302" s="1063"/>
      <c r="P302" s="1063"/>
      <c r="Q302" s="1063"/>
      <c r="R302" s="1063"/>
      <c r="S302" s="1057"/>
      <c r="T302" s="675">
        <f>H302+N302</f>
        <v>0</v>
      </c>
      <c r="V302" s="630">
        <f t="shared" si="93"/>
      </c>
      <c r="X302" s="617"/>
      <c r="Y302" s="617"/>
      <c r="Z302" s="617"/>
    </row>
    <row r="303" spans="1:26" s="478" customFormat="1" ht="27.75" customHeight="1" thickBot="1">
      <c r="A303" s="1259" t="s">
        <v>1105</v>
      </c>
      <c r="B303" s="1260"/>
      <c r="C303" s="1260"/>
      <c r="D303" s="1260"/>
      <c r="E303" s="1260"/>
      <c r="F303" s="1260"/>
      <c r="G303" s="1260"/>
      <c r="H303" s="1491">
        <f>SUM(H299:H302)</f>
        <v>22504.989999999998</v>
      </c>
      <c r="I303" s="1060">
        <f>SUM(I299:I302)</f>
        <v>0</v>
      </c>
      <c r="J303" s="1060">
        <f>SUM(J299:J302)</f>
        <v>22504.989999999998</v>
      </c>
      <c r="K303" s="1060">
        <f>SUM(K299:K302)</f>
        <v>0</v>
      </c>
      <c r="L303" s="1060">
        <f>SUM(L299:L302)</f>
        <v>102497</v>
      </c>
      <c r="M303" s="1060">
        <f aca="true" t="shared" si="105" ref="M303:T303">SUM(M299:M302)</f>
        <v>0</v>
      </c>
      <c r="N303" s="1060">
        <f t="shared" si="105"/>
        <v>102497</v>
      </c>
      <c r="O303" s="1060">
        <f t="shared" si="105"/>
        <v>0</v>
      </c>
      <c r="P303" s="1060">
        <f t="shared" si="105"/>
        <v>0</v>
      </c>
      <c r="Q303" s="815">
        <f t="shared" si="105"/>
        <v>0</v>
      </c>
      <c r="R303" s="815">
        <f t="shared" si="105"/>
        <v>0</v>
      </c>
      <c r="S303" s="815">
        <f t="shared" si="105"/>
        <v>0</v>
      </c>
      <c r="T303" s="586">
        <f t="shared" si="105"/>
        <v>125001.98999999999</v>
      </c>
      <c r="V303" s="630">
        <f t="shared" si="93"/>
      </c>
      <c r="X303" s="617"/>
      <c r="Y303" s="617"/>
      <c r="Z303" s="617"/>
    </row>
    <row r="304" spans="1:26" s="478" customFormat="1" ht="27.75" customHeight="1">
      <c r="A304" s="381">
        <v>1</v>
      </c>
      <c r="B304" s="483">
        <v>11</v>
      </c>
      <c r="C304" s="483">
        <v>2</v>
      </c>
      <c r="D304" s="1132">
        <v>1500</v>
      </c>
      <c r="E304" s="952">
        <v>202</v>
      </c>
      <c r="F304" s="452" t="s">
        <v>214</v>
      </c>
      <c r="G304" s="531" t="s">
        <v>1166</v>
      </c>
      <c r="H304" s="486">
        <v>2074</v>
      </c>
      <c r="I304" s="486"/>
      <c r="J304" s="486">
        <v>9470.86</v>
      </c>
      <c r="K304" s="486"/>
      <c r="L304" s="1186">
        <v>10000</v>
      </c>
      <c r="M304" s="579"/>
      <c r="N304" s="1458">
        <v>10000</v>
      </c>
      <c r="O304" s="579"/>
      <c r="P304" s="579"/>
      <c r="Q304" s="624"/>
      <c r="R304" s="579"/>
      <c r="S304" s="491"/>
      <c r="T304" s="1494">
        <f aca="true" t="shared" si="106" ref="T304:T310">H304+N304</f>
        <v>12074</v>
      </c>
      <c r="V304" s="630">
        <f t="shared" si="93"/>
      </c>
      <c r="X304" s="617"/>
      <c r="Y304" s="617"/>
      <c r="Z304" s="617"/>
    </row>
    <row r="305" spans="1:26" s="478" customFormat="1" ht="27.75" customHeight="1">
      <c r="A305" s="381">
        <v>1</v>
      </c>
      <c r="B305" s="483">
        <v>11</v>
      </c>
      <c r="C305" s="483">
        <v>2</v>
      </c>
      <c r="D305" s="1132">
        <v>1501</v>
      </c>
      <c r="E305" s="952">
        <v>202</v>
      </c>
      <c r="F305" s="452" t="s">
        <v>258</v>
      </c>
      <c r="G305" s="520" t="s">
        <v>952</v>
      </c>
      <c r="H305" s="486">
        <v>2684</v>
      </c>
      <c r="I305" s="486"/>
      <c r="J305" s="486"/>
      <c r="K305" s="486"/>
      <c r="L305" s="579"/>
      <c r="M305" s="579"/>
      <c r="N305" s="579"/>
      <c r="O305" s="579"/>
      <c r="P305" s="579"/>
      <c r="Q305" s="624"/>
      <c r="R305" s="579"/>
      <c r="S305" s="491"/>
      <c r="T305" s="1494">
        <f t="shared" si="106"/>
        <v>2684</v>
      </c>
      <c r="V305" s="630">
        <f t="shared" si="93"/>
      </c>
      <c r="X305" s="617"/>
      <c r="Y305" s="617"/>
      <c r="Z305" s="617"/>
    </row>
    <row r="306" spans="1:26" s="478" customFormat="1" ht="27.75" customHeight="1">
      <c r="A306" s="381">
        <v>1</v>
      </c>
      <c r="B306" s="483">
        <v>11</v>
      </c>
      <c r="C306" s="483">
        <v>2</v>
      </c>
      <c r="D306" s="1105">
        <v>1502</v>
      </c>
      <c r="E306" s="952">
        <v>202</v>
      </c>
      <c r="F306" s="949" t="s">
        <v>887</v>
      </c>
      <c r="G306" s="571" t="s">
        <v>1031</v>
      </c>
      <c r="H306" s="950">
        <v>26.43</v>
      </c>
      <c r="I306" s="486"/>
      <c r="J306" s="486"/>
      <c r="K306" s="486"/>
      <c r="L306" s="1186">
        <f>ENTRATA!J100</f>
        <v>2400</v>
      </c>
      <c r="M306" s="579"/>
      <c r="N306" s="1458">
        <f>ENTRATA!K100</f>
        <v>2400</v>
      </c>
      <c r="O306" s="579"/>
      <c r="P306" s="1458">
        <f>ENTRATA!M100</f>
        <v>2400</v>
      </c>
      <c r="Q306" s="1458" t="e">
        <f>ENTRATA!#REF!</f>
        <v>#REF!</v>
      </c>
      <c r="R306" s="1458">
        <f>ENTRATA!N100</f>
        <v>2400</v>
      </c>
      <c r="S306" s="491"/>
      <c r="T306" s="1494">
        <f t="shared" si="106"/>
        <v>2426.43</v>
      </c>
      <c r="V306" s="630">
        <f t="shared" si="93"/>
      </c>
      <c r="X306" s="617"/>
      <c r="Y306" s="617"/>
      <c r="Z306" s="617"/>
    </row>
    <row r="307" spans="1:26" s="478" customFormat="1" ht="27.75" customHeight="1">
      <c r="A307" s="381">
        <v>1</v>
      </c>
      <c r="B307" s="483">
        <v>11</v>
      </c>
      <c r="C307" s="483">
        <v>2</v>
      </c>
      <c r="D307" s="1105" t="s">
        <v>1107</v>
      </c>
      <c r="E307" s="952">
        <v>202</v>
      </c>
      <c r="F307" s="949" t="s">
        <v>887</v>
      </c>
      <c r="G307" s="571" t="s">
        <v>1108</v>
      </c>
      <c r="H307" s="950"/>
      <c r="I307" s="486"/>
      <c r="J307" s="486"/>
      <c r="K307" s="486"/>
      <c r="L307" s="1186">
        <v>763</v>
      </c>
      <c r="M307" s="579"/>
      <c r="N307" s="579"/>
      <c r="O307" s="579"/>
      <c r="P307" s="579"/>
      <c r="Q307" s="579"/>
      <c r="R307" s="579"/>
      <c r="S307" s="491"/>
      <c r="T307" s="625">
        <f>H307+N307</f>
        <v>0</v>
      </c>
      <c r="V307" s="630">
        <f t="shared" si="93"/>
      </c>
      <c r="X307" s="617"/>
      <c r="Y307" s="617"/>
      <c r="Z307" s="617"/>
    </row>
    <row r="308" spans="1:26" s="478" customFormat="1" ht="27.75" customHeight="1">
      <c r="A308" s="386">
        <v>1</v>
      </c>
      <c r="B308" s="493">
        <v>11</v>
      </c>
      <c r="C308" s="493">
        <v>2</v>
      </c>
      <c r="D308" s="1133">
        <v>1505</v>
      </c>
      <c r="E308" s="1135">
        <v>202</v>
      </c>
      <c r="F308" s="453" t="s">
        <v>887</v>
      </c>
      <c r="G308" s="531" t="s">
        <v>676</v>
      </c>
      <c r="H308" s="495"/>
      <c r="I308" s="495"/>
      <c r="J308" s="495"/>
      <c r="K308" s="495"/>
      <c r="L308" s="576"/>
      <c r="M308" s="576"/>
      <c r="N308" s="576"/>
      <c r="O308" s="576"/>
      <c r="P308" s="576"/>
      <c r="Q308" s="621"/>
      <c r="R308" s="576"/>
      <c r="S308" s="498"/>
      <c r="T308" s="625">
        <f t="shared" si="106"/>
        <v>0</v>
      </c>
      <c r="V308" s="630">
        <f t="shared" si="93"/>
      </c>
      <c r="X308" s="617"/>
      <c r="Y308" s="617"/>
      <c r="Z308" s="617"/>
    </row>
    <row r="309" spans="1:26" s="478" customFormat="1" ht="27.75" customHeight="1">
      <c r="A309" s="386">
        <v>1</v>
      </c>
      <c r="B309" s="493">
        <v>11</v>
      </c>
      <c r="C309" s="493">
        <v>2</v>
      </c>
      <c r="D309" s="1133">
        <v>1513</v>
      </c>
      <c r="E309" s="1135">
        <v>202</v>
      </c>
      <c r="F309" s="453" t="s">
        <v>887</v>
      </c>
      <c r="G309" s="500" t="s">
        <v>1032</v>
      </c>
      <c r="H309" s="495">
        <v>1902.12</v>
      </c>
      <c r="I309" s="495"/>
      <c r="J309" s="495">
        <v>1902.12</v>
      </c>
      <c r="K309" s="495"/>
      <c r="L309" s="1187">
        <v>0</v>
      </c>
      <c r="M309" s="1162">
        <v>1902.12</v>
      </c>
      <c r="N309" s="576"/>
      <c r="O309" s="576"/>
      <c r="P309" s="576"/>
      <c r="Q309" s="621"/>
      <c r="R309" s="576"/>
      <c r="S309" s="522"/>
      <c r="T309" s="1494">
        <f t="shared" si="106"/>
        <v>1902.12</v>
      </c>
      <c r="V309" s="630">
        <f t="shared" si="93"/>
      </c>
      <c r="X309" s="617"/>
      <c r="Y309" s="617"/>
      <c r="Z309" s="617"/>
    </row>
    <row r="310" spans="1:26" s="478" customFormat="1" ht="27.75" customHeight="1" thickBot="1">
      <c r="A310" s="414"/>
      <c r="B310" s="518"/>
      <c r="C310" s="518"/>
      <c r="D310" s="1134"/>
      <c r="E310" s="1136"/>
      <c r="F310" s="439"/>
      <c r="G310" s="531"/>
      <c r="H310" s="521"/>
      <c r="I310" s="521"/>
      <c r="J310" s="521"/>
      <c r="K310" s="521"/>
      <c r="L310" s="588"/>
      <c r="M310" s="588"/>
      <c r="N310" s="588"/>
      <c r="O310" s="588"/>
      <c r="P310" s="588"/>
      <c r="Q310" s="747"/>
      <c r="R310" s="588"/>
      <c r="S310" s="522"/>
      <c r="T310" s="675">
        <f t="shared" si="106"/>
        <v>0</v>
      </c>
      <c r="V310" s="630">
        <f t="shared" si="93"/>
      </c>
      <c r="X310" s="617"/>
      <c r="Y310" s="617"/>
      <c r="Z310" s="617"/>
    </row>
    <row r="311" spans="1:26" s="478" customFormat="1" ht="27.75" customHeight="1" thickBot="1">
      <c r="A311" s="1304" t="s">
        <v>42</v>
      </c>
      <c r="B311" s="1272"/>
      <c r="C311" s="1272"/>
      <c r="D311" s="1272"/>
      <c r="E311" s="1272"/>
      <c r="F311" s="1272"/>
      <c r="G311" s="1273"/>
      <c r="H311" s="1486">
        <f aca="true" t="shared" si="107" ref="H311:T311">SUM(H304:H310)</f>
        <v>6686.55</v>
      </c>
      <c r="I311" s="512">
        <f t="shared" si="107"/>
        <v>0</v>
      </c>
      <c r="J311" s="512">
        <f t="shared" si="107"/>
        <v>11372.98</v>
      </c>
      <c r="K311" s="512">
        <f t="shared" si="107"/>
        <v>0</v>
      </c>
      <c r="L311" s="580">
        <f t="shared" si="107"/>
        <v>13163</v>
      </c>
      <c r="M311" s="580">
        <f t="shared" si="107"/>
        <v>1902.12</v>
      </c>
      <c r="N311" s="580">
        <f t="shared" si="107"/>
        <v>12400</v>
      </c>
      <c r="O311" s="580">
        <f t="shared" si="107"/>
        <v>0</v>
      </c>
      <c r="P311" s="580">
        <f t="shared" si="107"/>
        <v>2400</v>
      </c>
      <c r="Q311" s="580" t="e">
        <f t="shared" si="107"/>
        <v>#REF!</v>
      </c>
      <c r="R311" s="580">
        <f t="shared" si="107"/>
        <v>2400</v>
      </c>
      <c r="S311" s="512">
        <f t="shared" si="107"/>
        <v>0</v>
      </c>
      <c r="T311" s="586">
        <f t="shared" si="107"/>
        <v>19086.55</v>
      </c>
      <c r="V311" s="630">
        <f t="shared" si="93"/>
      </c>
      <c r="X311" s="617"/>
      <c r="Y311" s="617"/>
      <c r="Z311" s="617"/>
    </row>
    <row r="312" spans="1:26" s="686" customFormat="1" ht="21" customHeight="1" thickBot="1">
      <c r="A312" s="1262" t="s">
        <v>29</v>
      </c>
      <c r="B312" s="1263"/>
      <c r="C312" s="1263"/>
      <c r="D312" s="1263"/>
      <c r="E312" s="1263"/>
      <c r="F312" s="1263"/>
      <c r="G312" s="1264"/>
      <c r="H312" s="1489">
        <f aca="true" t="shared" si="108" ref="H312:T312">H294+H298+H303+H311</f>
        <v>108034.84000000001</v>
      </c>
      <c r="I312" s="586">
        <f t="shared" si="108"/>
        <v>0</v>
      </c>
      <c r="J312" s="586">
        <f t="shared" si="108"/>
        <v>202535.30000000002</v>
      </c>
      <c r="K312" s="586">
        <f t="shared" si="108"/>
        <v>0</v>
      </c>
      <c r="L312" s="586">
        <f t="shared" si="108"/>
        <v>257758</v>
      </c>
      <c r="M312" s="586">
        <f t="shared" si="108"/>
        <v>58169.65</v>
      </c>
      <c r="N312" s="586">
        <f t="shared" si="108"/>
        <v>211455</v>
      </c>
      <c r="O312" s="586">
        <f t="shared" si="108"/>
        <v>0</v>
      </c>
      <c r="P312" s="586">
        <f t="shared" si="108"/>
        <v>2400</v>
      </c>
      <c r="Q312" s="586" t="e">
        <f t="shared" si="108"/>
        <v>#REF!</v>
      </c>
      <c r="R312" s="586">
        <f t="shared" si="108"/>
        <v>2400</v>
      </c>
      <c r="S312" s="586">
        <f t="shared" si="108"/>
        <v>0</v>
      </c>
      <c r="T312" s="586">
        <f t="shared" si="108"/>
        <v>319489.83999999997</v>
      </c>
      <c r="V312" s="630">
        <f t="shared" si="93"/>
      </c>
      <c r="X312" s="687"/>
      <c r="Z312" s="687"/>
    </row>
    <row r="313" spans="1:26" s="482" customFormat="1" ht="21" customHeight="1" thickBot="1">
      <c r="A313" s="1259" t="s">
        <v>43</v>
      </c>
      <c r="B313" s="1260"/>
      <c r="C313" s="1260"/>
      <c r="D313" s="1260"/>
      <c r="E313" s="1260"/>
      <c r="F313" s="1260"/>
      <c r="G313" s="1261"/>
      <c r="H313" s="1269"/>
      <c r="I313" s="1270"/>
      <c r="J313" s="1270"/>
      <c r="K313" s="1270"/>
      <c r="L313" s="1270"/>
      <c r="M313" s="1270"/>
      <c r="N313" s="1270"/>
      <c r="O313" s="1270"/>
      <c r="P313" s="1270"/>
      <c r="Q313" s="1270"/>
      <c r="R313" s="1270"/>
      <c r="S313" s="1270"/>
      <c r="T313" s="1270"/>
      <c r="V313" s="630">
        <f t="shared" si="93"/>
      </c>
      <c r="X313" s="686"/>
      <c r="Y313" s="686"/>
      <c r="Z313" s="695"/>
    </row>
    <row r="314" spans="1:26" s="478" customFormat="1" ht="27.75" customHeight="1">
      <c r="A314" s="381">
        <v>4</v>
      </c>
      <c r="B314" s="483">
        <v>2</v>
      </c>
      <c r="C314" s="483">
        <v>2</v>
      </c>
      <c r="D314" s="1111">
        <v>1511</v>
      </c>
      <c r="E314" s="452">
        <v>202</v>
      </c>
      <c r="F314" s="452" t="s">
        <v>153</v>
      </c>
      <c r="G314" s="531" t="s">
        <v>840</v>
      </c>
      <c r="H314" s="487"/>
      <c r="I314" s="487"/>
      <c r="J314" s="487"/>
      <c r="K314" s="487"/>
      <c r="L314" s="579"/>
      <c r="M314" s="579"/>
      <c r="N314" s="579"/>
      <c r="O314" s="738"/>
      <c r="P314" s="738"/>
      <c r="Q314" s="738"/>
      <c r="R314" s="738"/>
      <c r="S314" s="491"/>
      <c r="T314" s="677">
        <f aca="true" t="shared" si="109" ref="T314:T326">H314+N314</f>
        <v>0</v>
      </c>
      <c r="V314" s="630">
        <f t="shared" si="93"/>
      </c>
      <c r="X314" s="617"/>
      <c r="Y314" s="617"/>
      <c r="Z314" s="617"/>
    </row>
    <row r="315" spans="1:26" s="478" customFormat="1" ht="27.75" customHeight="1">
      <c r="A315" s="381">
        <v>4</v>
      </c>
      <c r="B315" s="483">
        <v>2</v>
      </c>
      <c r="C315" s="483">
        <v>2</v>
      </c>
      <c r="D315" s="1111">
        <v>1512</v>
      </c>
      <c r="E315" s="452">
        <v>202</v>
      </c>
      <c r="F315" s="452" t="s">
        <v>153</v>
      </c>
      <c r="G315" s="531" t="s">
        <v>841</v>
      </c>
      <c r="H315" s="487"/>
      <c r="I315" s="487"/>
      <c r="J315" s="487"/>
      <c r="K315" s="487"/>
      <c r="L315" s="579"/>
      <c r="M315" s="579"/>
      <c r="N315" s="579"/>
      <c r="O315" s="738"/>
      <c r="P315" s="738"/>
      <c r="Q315" s="738"/>
      <c r="R315" s="738"/>
      <c r="S315" s="491"/>
      <c r="T315" s="622">
        <f t="shared" si="109"/>
        <v>0</v>
      </c>
      <c r="V315" s="630">
        <f t="shared" si="93"/>
      </c>
      <c r="X315" s="617"/>
      <c r="Y315" s="617"/>
      <c r="Z315" s="617"/>
    </row>
    <row r="316" spans="1:26" s="478" customFormat="1" ht="28.5" customHeight="1">
      <c r="A316" s="381">
        <v>4</v>
      </c>
      <c r="B316" s="483">
        <v>2</v>
      </c>
      <c r="C316" s="483">
        <v>2</v>
      </c>
      <c r="D316" s="1100">
        <v>2040</v>
      </c>
      <c r="E316" s="452">
        <v>202</v>
      </c>
      <c r="F316" s="452" t="s">
        <v>153</v>
      </c>
      <c r="G316" s="531" t="s">
        <v>1072</v>
      </c>
      <c r="H316" s="487"/>
      <c r="I316" s="487"/>
      <c r="J316" s="487"/>
      <c r="K316" s="487"/>
      <c r="L316" s="579"/>
      <c r="M316" s="579"/>
      <c r="N316" s="579"/>
      <c r="O316" s="738"/>
      <c r="P316" s="1461">
        <v>650000</v>
      </c>
      <c r="Q316" s="738"/>
      <c r="R316" s="738"/>
      <c r="S316" s="491"/>
      <c r="T316" s="622">
        <f t="shared" si="109"/>
        <v>0</v>
      </c>
      <c r="V316" s="630">
        <f t="shared" si="93"/>
      </c>
      <c r="X316" s="617"/>
      <c r="Y316" s="617"/>
      <c r="Z316" s="617"/>
    </row>
    <row r="317" spans="1:26" s="478" customFormat="1" ht="27.75" customHeight="1">
      <c r="A317" s="381">
        <v>4</v>
      </c>
      <c r="B317" s="483">
        <v>2</v>
      </c>
      <c r="C317" s="483">
        <v>2</v>
      </c>
      <c r="D317" s="1111">
        <v>2042</v>
      </c>
      <c r="E317" s="452">
        <v>202</v>
      </c>
      <c r="F317" s="452" t="s">
        <v>153</v>
      </c>
      <c r="G317" s="531" t="s">
        <v>1177</v>
      </c>
      <c r="H317" s="487"/>
      <c r="I317" s="487"/>
      <c r="J317" s="487"/>
      <c r="K317" s="487"/>
      <c r="L317" s="579"/>
      <c r="M317" s="579"/>
      <c r="N317" s="1458">
        <v>50000</v>
      </c>
      <c r="O317" s="738"/>
      <c r="P317" s="738"/>
      <c r="Q317" s="738"/>
      <c r="R317" s="738"/>
      <c r="S317" s="491"/>
      <c r="T317" s="1493">
        <f t="shared" si="109"/>
        <v>50000</v>
      </c>
      <c r="V317" s="630">
        <f t="shared" si="93"/>
      </c>
      <c r="X317" s="617"/>
      <c r="Y317" s="617"/>
      <c r="Z317" s="617"/>
    </row>
    <row r="318" spans="1:26" s="478" customFormat="1" ht="44.25" customHeight="1">
      <c r="A318" s="381">
        <v>4</v>
      </c>
      <c r="B318" s="483">
        <v>2</v>
      </c>
      <c r="C318" s="483">
        <v>2</v>
      </c>
      <c r="D318" s="1111">
        <v>2044</v>
      </c>
      <c r="E318" s="452">
        <v>202</v>
      </c>
      <c r="F318" s="452" t="s">
        <v>153</v>
      </c>
      <c r="G318" s="531" t="s">
        <v>1178</v>
      </c>
      <c r="H318" s="487">
        <v>43370</v>
      </c>
      <c r="I318" s="487"/>
      <c r="J318" s="487">
        <v>36370.93</v>
      </c>
      <c r="K318" s="487"/>
      <c r="L318" s="1186">
        <v>0</v>
      </c>
      <c r="M318" s="1165">
        <v>36370.93</v>
      </c>
      <c r="N318" s="579"/>
      <c r="O318" s="738"/>
      <c r="P318" s="738"/>
      <c r="Q318" s="738"/>
      <c r="R318" s="738"/>
      <c r="S318" s="491"/>
      <c r="T318" s="1493">
        <f t="shared" si="109"/>
        <v>43370</v>
      </c>
      <c r="V318" s="630">
        <f t="shared" si="93"/>
      </c>
      <c r="X318" s="617"/>
      <c r="Y318" s="617"/>
      <c r="Z318" s="617"/>
    </row>
    <row r="319" spans="1:26" s="478" customFormat="1" ht="27.75" customHeight="1">
      <c r="A319" s="381">
        <v>4</v>
      </c>
      <c r="B319" s="483">
        <v>2</v>
      </c>
      <c r="C319" s="483">
        <v>2</v>
      </c>
      <c r="D319" s="1111">
        <v>2045</v>
      </c>
      <c r="E319" s="452">
        <v>202</v>
      </c>
      <c r="F319" s="452" t="s">
        <v>153</v>
      </c>
      <c r="G319" s="531" t="s">
        <v>611</v>
      </c>
      <c r="H319" s="487">
        <v>790744.94</v>
      </c>
      <c r="I319" s="487"/>
      <c r="J319" s="487">
        <v>790744.94</v>
      </c>
      <c r="K319" s="487"/>
      <c r="L319" s="1186">
        <v>730831.46</v>
      </c>
      <c r="M319" s="1165">
        <v>59913.48</v>
      </c>
      <c r="N319" s="579"/>
      <c r="O319" s="738"/>
      <c r="P319" s="738"/>
      <c r="Q319" s="738"/>
      <c r="R319" s="579"/>
      <c r="S319" s="491"/>
      <c r="T319" s="1493">
        <f t="shared" si="109"/>
        <v>790744.94</v>
      </c>
      <c r="V319" s="630">
        <f t="shared" si="93"/>
      </c>
      <c r="X319" s="617"/>
      <c r="Y319" s="617"/>
      <c r="Z319" s="617"/>
    </row>
    <row r="320" spans="1:26" s="478" customFormat="1" ht="27.75" customHeight="1">
      <c r="A320" s="381">
        <v>4</v>
      </c>
      <c r="B320" s="483">
        <v>2</v>
      </c>
      <c r="C320" s="483">
        <v>2</v>
      </c>
      <c r="D320" s="1111">
        <v>2046</v>
      </c>
      <c r="E320" s="452">
        <v>202</v>
      </c>
      <c r="F320" s="452" t="s">
        <v>888</v>
      </c>
      <c r="G320" s="500" t="s">
        <v>1088</v>
      </c>
      <c r="H320" s="487">
        <v>1998622.84</v>
      </c>
      <c r="I320" s="487"/>
      <c r="J320" s="487">
        <v>2635978.68</v>
      </c>
      <c r="K320" s="487"/>
      <c r="L320" s="1186">
        <v>2379970</v>
      </c>
      <c r="M320" s="1165">
        <v>409008.68</v>
      </c>
      <c r="N320" s="1462">
        <v>153000</v>
      </c>
      <c r="O320" s="738"/>
      <c r="P320" s="738"/>
      <c r="Q320" s="738"/>
      <c r="R320" s="579"/>
      <c r="S320" s="491"/>
      <c r="T320" s="1493">
        <f t="shared" si="109"/>
        <v>2151622.84</v>
      </c>
      <c r="V320" s="630">
        <f t="shared" si="93"/>
      </c>
      <c r="X320" s="617"/>
      <c r="Y320" s="617"/>
      <c r="Z320" s="617"/>
    </row>
    <row r="321" spans="1:26" s="478" customFormat="1" ht="27.75" customHeight="1">
      <c r="A321" s="381">
        <v>4</v>
      </c>
      <c r="B321" s="483">
        <v>2</v>
      </c>
      <c r="C321" s="483">
        <v>2</v>
      </c>
      <c r="D321" s="1111">
        <v>2047</v>
      </c>
      <c r="E321" s="452">
        <v>201</v>
      </c>
      <c r="F321" s="452" t="s">
        <v>153</v>
      </c>
      <c r="G321" s="500" t="s">
        <v>864</v>
      </c>
      <c r="H321" s="487">
        <v>296.01</v>
      </c>
      <c r="I321" s="487"/>
      <c r="J321" s="487"/>
      <c r="K321" s="487"/>
      <c r="L321" s="579"/>
      <c r="M321" s="579"/>
      <c r="N321" s="579"/>
      <c r="O321" s="738"/>
      <c r="P321" s="738"/>
      <c r="Q321" s="738"/>
      <c r="R321" s="579"/>
      <c r="S321" s="491"/>
      <c r="T321" s="1493">
        <f t="shared" si="109"/>
        <v>296.01</v>
      </c>
      <c r="V321" s="630">
        <f t="shared" si="93"/>
      </c>
      <c r="X321" s="617"/>
      <c r="Y321" s="617"/>
      <c r="Z321" s="617"/>
    </row>
    <row r="322" spans="1:26" s="478" customFormat="1" ht="27.75" customHeight="1">
      <c r="A322" s="381">
        <v>4</v>
      </c>
      <c r="B322" s="483">
        <v>2</v>
      </c>
      <c r="C322" s="483">
        <v>2</v>
      </c>
      <c r="D322" s="1111">
        <v>2048</v>
      </c>
      <c r="E322" s="452">
        <v>201</v>
      </c>
      <c r="F322" s="452" t="s">
        <v>153</v>
      </c>
      <c r="G322" s="500" t="s">
        <v>1034</v>
      </c>
      <c r="H322" s="487"/>
      <c r="I322" s="487"/>
      <c r="J322" s="487"/>
      <c r="K322" s="487"/>
      <c r="L322" s="1186">
        <v>63000</v>
      </c>
      <c r="M322" s="579"/>
      <c r="N322" s="1458">
        <v>315000</v>
      </c>
      <c r="O322" s="738"/>
      <c r="P322" s="1461">
        <v>315000</v>
      </c>
      <c r="Q322" s="738"/>
      <c r="R322" s="579"/>
      <c r="S322" s="491"/>
      <c r="T322" s="1493">
        <f t="shared" si="109"/>
        <v>315000</v>
      </c>
      <c r="V322" s="630">
        <f t="shared" si="93"/>
      </c>
      <c r="X322" s="617"/>
      <c r="Y322" s="617"/>
      <c r="Z322" s="617"/>
    </row>
    <row r="323" spans="1:26" s="478" customFormat="1" ht="27.75" customHeight="1">
      <c r="A323" s="381">
        <v>4</v>
      </c>
      <c r="B323" s="483">
        <v>2</v>
      </c>
      <c r="C323" s="483">
        <v>2</v>
      </c>
      <c r="D323" s="1111">
        <v>2049</v>
      </c>
      <c r="E323" s="452">
        <v>201</v>
      </c>
      <c r="F323" s="452" t="s">
        <v>153</v>
      </c>
      <c r="G323" s="500" t="s">
        <v>1035</v>
      </c>
      <c r="H323" s="487"/>
      <c r="I323" s="487"/>
      <c r="J323" s="487"/>
      <c r="K323" s="487"/>
      <c r="L323" s="1186">
        <v>28000</v>
      </c>
      <c r="M323" s="579"/>
      <c r="N323" s="1458">
        <v>140000</v>
      </c>
      <c r="O323" s="738"/>
      <c r="P323" s="1461">
        <v>140000</v>
      </c>
      <c r="Q323" s="738"/>
      <c r="R323" s="579"/>
      <c r="S323" s="491"/>
      <c r="T323" s="1493">
        <f t="shared" si="109"/>
        <v>140000</v>
      </c>
      <c r="V323" s="630">
        <f t="shared" si="93"/>
      </c>
      <c r="X323" s="617"/>
      <c r="Y323" s="617"/>
      <c r="Z323" s="617"/>
    </row>
    <row r="324" spans="1:26" s="478" customFormat="1" ht="27.75" customHeight="1">
      <c r="A324" s="381">
        <v>4</v>
      </c>
      <c r="B324" s="483">
        <v>2</v>
      </c>
      <c r="C324" s="483">
        <v>2</v>
      </c>
      <c r="D324" s="1111">
        <v>2058</v>
      </c>
      <c r="E324" s="452">
        <v>201</v>
      </c>
      <c r="F324" s="452" t="s">
        <v>153</v>
      </c>
      <c r="G324" s="500" t="s">
        <v>1069</v>
      </c>
      <c r="H324" s="487">
        <v>53000</v>
      </c>
      <c r="I324" s="487"/>
      <c r="J324" s="487">
        <v>53000</v>
      </c>
      <c r="K324" s="487"/>
      <c r="L324" s="1186">
        <v>53000</v>
      </c>
      <c r="M324" s="579"/>
      <c r="N324" s="1458">
        <v>477000</v>
      </c>
      <c r="O324" s="738"/>
      <c r="P324" s="738"/>
      <c r="Q324" s="738"/>
      <c r="R324" s="579"/>
      <c r="S324" s="491"/>
      <c r="T324" s="1493">
        <f t="shared" si="109"/>
        <v>530000</v>
      </c>
      <c r="V324" s="630">
        <f t="shared" si="93"/>
      </c>
      <c r="X324" s="617"/>
      <c r="Y324" s="617"/>
      <c r="Z324" s="617"/>
    </row>
    <row r="325" spans="1:26" s="478" customFormat="1" ht="27.75" customHeight="1">
      <c r="A325" s="381">
        <v>4</v>
      </c>
      <c r="B325" s="483">
        <v>2</v>
      </c>
      <c r="C325" s="483">
        <v>2</v>
      </c>
      <c r="D325" s="1111">
        <v>2060</v>
      </c>
      <c r="E325" s="452">
        <v>201</v>
      </c>
      <c r="F325" s="452" t="s">
        <v>153</v>
      </c>
      <c r="G325" s="500" t="s">
        <v>954</v>
      </c>
      <c r="H325" s="487">
        <v>152.37</v>
      </c>
      <c r="I325" s="487"/>
      <c r="J325" s="487"/>
      <c r="K325" s="487"/>
      <c r="L325" s="579"/>
      <c r="M325" s="579"/>
      <c r="N325" s="579"/>
      <c r="O325" s="738"/>
      <c r="P325" s="738"/>
      <c r="Q325" s="738"/>
      <c r="R325" s="579"/>
      <c r="S325" s="491"/>
      <c r="T325" s="1493">
        <f t="shared" si="109"/>
        <v>152.37</v>
      </c>
      <c r="V325" s="630">
        <f t="shared" si="93"/>
      </c>
      <c r="X325" s="617"/>
      <c r="Y325" s="617"/>
      <c r="Z325" s="617"/>
    </row>
    <row r="326" spans="1:26" s="478" customFormat="1" ht="27.75" customHeight="1">
      <c r="A326" s="386">
        <v>4</v>
      </c>
      <c r="B326" s="499">
        <v>2</v>
      </c>
      <c r="C326" s="499">
        <v>2</v>
      </c>
      <c r="D326" s="1128">
        <v>2082</v>
      </c>
      <c r="E326" s="952">
        <v>201</v>
      </c>
      <c r="F326" s="452" t="s">
        <v>902</v>
      </c>
      <c r="G326" s="500" t="s">
        <v>953</v>
      </c>
      <c r="H326" s="496"/>
      <c r="I326" s="496"/>
      <c r="J326" s="496"/>
      <c r="K326" s="496"/>
      <c r="L326" s="576"/>
      <c r="M326" s="576"/>
      <c r="N326" s="576"/>
      <c r="O326" s="618"/>
      <c r="P326" s="618"/>
      <c r="Q326" s="618"/>
      <c r="R326" s="576"/>
      <c r="S326" s="498"/>
      <c r="T326" s="622">
        <f t="shared" si="109"/>
        <v>0</v>
      </c>
      <c r="V326" s="630">
        <f t="shared" si="93"/>
      </c>
      <c r="X326" s="617"/>
      <c r="Y326" s="617"/>
      <c r="Z326" s="617"/>
    </row>
    <row r="327" spans="1:26" s="478" customFormat="1" ht="27.75" customHeight="1">
      <c r="A327" s="1271" t="s">
        <v>484</v>
      </c>
      <c r="B327" s="1272"/>
      <c r="C327" s="1272"/>
      <c r="D327" s="1272"/>
      <c r="E327" s="1272"/>
      <c r="F327" s="1272"/>
      <c r="G327" s="1273"/>
      <c r="H327" s="1486">
        <f aca="true" t="shared" si="110" ref="H327:T327">SUM(H314:H326)</f>
        <v>2886186.16</v>
      </c>
      <c r="I327" s="512">
        <f t="shared" si="110"/>
        <v>0</v>
      </c>
      <c r="J327" s="512">
        <f t="shared" si="110"/>
        <v>3516094.5500000003</v>
      </c>
      <c r="K327" s="512">
        <f t="shared" si="110"/>
        <v>0</v>
      </c>
      <c r="L327" s="580">
        <f t="shared" si="110"/>
        <v>3254801.46</v>
      </c>
      <c r="M327" s="580">
        <f t="shared" si="110"/>
        <v>505293.08999999997</v>
      </c>
      <c r="N327" s="580">
        <f t="shared" si="110"/>
        <v>1135000</v>
      </c>
      <c r="O327" s="512">
        <f t="shared" si="110"/>
        <v>0</v>
      </c>
      <c r="P327" s="512">
        <f t="shared" si="110"/>
        <v>1105000</v>
      </c>
      <c r="Q327" s="517">
        <f t="shared" si="110"/>
        <v>0</v>
      </c>
      <c r="R327" s="517">
        <f t="shared" si="110"/>
        <v>0</v>
      </c>
      <c r="S327" s="517">
        <f t="shared" si="110"/>
        <v>0</v>
      </c>
      <c r="T327" s="613">
        <f t="shared" si="110"/>
        <v>4021186.1599999997</v>
      </c>
      <c r="V327" s="630">
        <f t="shared" si="93"/>
      </c>
      <c r="X327" s="617"/>
      <c r="Y327" s="617"/>
      <c r="Z327" s="617"/>
    </row>
    <row r="328" spans="1:26" s="478" customFormat="1" ht="27.75" customHeight="1">
      <c r="A328" s="381">
        <v>4</v>
      </c>
      <c r="B328" s="484">
        <v>6</v>
      </c>
      <c r="C328" s="484">
        <v>2</v>
      </c>
      <c r="D328" s="310"/>
      <c r="E328" s="483">
        <v>201</v>
      </c>
      <c r="F328" s="452" t="s">
        <v>177</v>
      </c>
      <c r="G328" s="531" t="s">
        <v>177</v>
      </c>
      <c r="H328" s="486"/>
      <c r="I328" s="486"/>
      <c r="J328" s="486"/>
      <c r="K328" s="486"/>
      <c r="L328" s="579"/>
      <c r="M328" s="579"/>
      <c r="N328" s="579"/>
      <c r="O328" s="488"/>
      <c r="P328" s="488"/>
      <c r="Q328" s="1153"/>
      <c r="R328" s="486"/>
      <c r="S328" s="491"/>
      <c r="T328" s="622">
        <f>H328+N328</f>
        <v>0</v>
      </c>
      <c r="V328" s="630">
        <f aca="true" t="shared" si="111" ref="V328:V391">IF(T328&gt;(H328+N328),"ERRORE","")</f>
      </c>
      <c r="X328" s="617"/>
      <c r="Y328" s="617"/>
      <c r="Z328" s="617"/>
    </row>
    <row r="329" spans="1:26" s="478" customFormat="1" ht="27.75" customHeight="1">
      <c r="A329" s="381">
        <v>4</v>
      </c>
      <c r="B329" s="484">
        <v>6</v>
      </c>
      <c r="C329" s="484">
        <v>2</v>
      </c>
      <c r="D329" s="310"/>
      <c r="E329" s="483">
        <v>201</v>
      </c>
      <c r="F329" s="452" t="s">
        <v>177</v>
      </c>
      <c r="G329" s="531" t="s">
        <v>177</v>
      </c>
      <c r="H329" s="486"/>
      <c r="I329" s="486"/>
      <c r="J329" s="486"/>
      <c r="K329" s="486"/>
      <c r="L329" s="579"/>
      <c r="M329" s="579"/>
      <c r="N329" s="579"/>
      <c r="O329" s="488"/>
      <c r="P329" s="488"/>
      <c r="Q329" s="495"/>
      <c r="R329" s="486"/>
      <c r="S329" s="491"/>
      <c r="T329" s="622">
        <f>H329+N329</f>
        <v>0</v>
      </c>
      <c r="V329" s="630">
        <f t="shared" si="111"/>
      </c>
      <c r="X329" s="617"/>
      <c r="Y329" s="617"/>
      <c r="Z329" s="617"/>
    </row>
    <row r="330" spans="1:26" s="478" customFormat="1" ht="27.75" customHeight="1">
      <c r="A330" s="381">
        <v>4</v>
      </c>
      <c r="B330" s="484">
        <v>6</v>
      </c>
      <c r="C330" s="484">
        <v>2</v>
      </c>
      <c r="D330" s="310"/>
      <c r="E330" s="483">
        <v>201</v>
      </c>
      <c r="F330" s="452" t="s">
        <v>177</v>
      </c>
      <c r="G330" s="531" t="s">
        <v>177</v>
      </c>
      <c r="H330" s="486"/>
      <c r="I330" s="486"/>
      <c r="J330" s="486"/>
      <c r="K330" s="486"/>
      <c r="L330" s="579"/>
      <c r="M330" s="579"/>
      <c r="N330" s="579"/>
      <c r="O330" s="488"/>
      <c r="P330" s="488"/>
      <c r="Q330" s="495"/>
      <c r="R330" s="486"/>
      <c r="S330" s="491"/>
      <c r="T330" s="622">
        <f>H330+N330</f>
        <v>0</v>
      </c>
      <c r="V330" s="630">
        <f t="shared" si="111"/>
      </c>
      <c r="X330" s="617"/>
      <c r="Y330" s="617"/>
      <c r="Z330" s="617"/>
    </row>
    <row r="331" spans="1:26" s="478" customFormat="1" ht="27.75" customHeight="1">
      <c r="A331" s="381">
        <v>4</v>
      </c>
      <c r="B331" s="484">
        <v>6</v>
      </c>
      <c r="C331" s="484">
        <v>2</v>
      </c>
      <c r="D331" s="310"/>
      <c r="E331" s="483">
        <v>201</v>
      </c>
      <c r="F331" s="452" t="s">
        <v>177</v>
      </c>
      <c r="G331" s="531" t="s">
        <v>177</v>
      </c>
      <c r="H331" s="486"/>
      <c r="I331" s="486"/>
      <c r="J331" s="486"/>
      <c r="K331" s="486"/>
      <c r="L331" s="579"/>
      <c r="M331" s="579"/>
      <c r="N331" s="579"/>
      <c r="O331" s="488"/>
      <c r="P331" s="488"/>
      <c r="Q331" s="488"/>
      <c r="R331" s="486"/>
      <c r="S331" s="491"/>
      <c r="T331" s="622">
        <f>H331+N331</f>
        <v>0</v>
      </c>
      <c r="V331" s="630">
        <f t="shared" si="111"/>
      </c>
      <c r="X331" s="617"/>
      <c r="Y331" s="617"/>
      <c r="Z331" s="617"/>
    </row>
    <row r="332" spans="1:26" s="478" customFormat="1" ht="27.75" customHeight="1" thickBot="1">
      <c r="A332" s="1271" t="s">
        <v>354</v>
      </c>
      <c r="B332" s="1272"/>
      <c r="C332" s="1272"/>
      <c r="D332" s="1272"/>
      <c r="E332" s="1272"/>
      <c r="F332" s="1272"/>
      <c r="G332" s="1273"/>
      <c r="H332" s="512">
        <f aca="true" t="shared" si="112" ref="H332:T332">SUM(H328:H328)</f>
        <v>0</v>
      </c>
      <c r="I332" s="512">
        <f t="shared" si="112"/>
        <v>0</v>
      </c>
      <c r="J332" s="512">
        <f t="shared" si="112"/>
        <v>0</v>
      </c>
      <c r="K332" s="512">
        <f t="shared" si="112"/>
        <v>0</v>
      </c>
      <c r="L332" s="580">
        <f t="shared" si="112"/>
        <v>0</v>
      </c>
      <c r="M332" s="580">
        <f t="shared" si="112"/>
        <v>0</v>
      </c>
      <c r="N332" s="580">
        <f t="shared" si="112"/>
        <v>0</v>
      </c>
      <c r="O332" s="512">
        <f t="shared" si="112"/>
        <v>0</v>
      </c>
      <c r="P332" s="512">
        <f t="shared" si="112"/>
        <v>0</v>
      </c>
      <c r="Q332" s="517">
        <f t="shared" si="112"/>
        <v>0</v>
      </c>
      <c r="R332" s="517">
        <f t="shared" si="112"/>
        <v>0</v>
      </c>
      <c r="S332" s="517">
        <f t="shared" si="112"/>
        <v>0</v>
      </c>
      <c r="T332" s="678">
        <f t="shared" si="112"/>
        <v>0</v>
      </c>
      <c r="V332" s="630">
        <f t="shared" si="111"/>
      </c>
      <c r="X332" s="617"/>
      <c r="Y332" s="617"/>
      <c r="Z332" s="617"/>
    </row>
    <row r="333" spans="1:24" s="686" customFormat="1" ht="21" customHeight="1" thickBot="1">
      <c r="A333" s="1262" t="s">
        <v>44</v>
      </c>
      <c r="B333" s="1263"/>
      <c r="C333" s="1263"/>
      <c r="D333" s="1263"/>
      <c r="E333" s="1263"/>
      <c r="F333" s="1263"/>
      <c r="G333" s="1264"/>
      <c r="H333" s="586">
        <f>H327+H332</f>
        <v>2886186.16</v>
      </c>
      <c r="I333" s="586">
        <f aca="true" t="shared" si="113" ref="I333:O333">I327+I332</f>
        <v>0</v>
      </c>
      <c r="J333" s="586">
        <f t="shared" si="113"/>
        <v>3516094.5500000003</v>
      </c>
      <c r="K333" s="586">
        <f t="shared" si="113"/>
        <v>0</v>
      </c>
      <c r="L333" s="586">
        <f t="shared" si="113"/>
        <v>3254801.46</v>
      </c>
      <c r="M333" s="586">
        <f t="shared" si="113"/>
        <v>505293.08999999997</v>
      </c>
      <c r="N333" s="586">
        <f t="shared" si="113"/>
        <v>1135000</v>
      </c>
      <c r="O333" s="586">
        <f t="shared" si="113"/>
        <v>0</v>
      </c>
      <c r="P333" s="586">
        <f>P327+P332</f>
        <v>1105000</v>
      </c>
      <c r="Q333" s="586">
        <f>Q327+Q332</f>
        <v>0</v>
      </c>
      <c r="R333" s="586">
        <f>R327+R332</f>
        <v>0</v>
      </c>
      <c r="S333" s="586">
        <f>S327+S332</f>
        <v>0</v>
      </c>
      <c r="T333" s="586">
        <f>T327+T332</f>
        <v>4021186.1599999997</v>
      </c>
      <c r="V333" s="630">
        <f t="shared" si="111"/>
      </c>
      <c r="X333" s="687"/>
    </row>
    <row r="334" spans="1:26" s="482" customFormat="1" ht="21" customHeight="1" thickBot="1">
      <c r="A334" s="1259" t="s">
        <v>46</v>
      </c>
      <c r="B334" s="1260"/>
      <c r="C334" s="1260"/>
      <c r="D334" s="1260"/>
      <c r="E334" s="1260"/>
      <c r="F334" s="1260"/>
      <c r="G334" s="1261"/>
      <c r="H334" s="1269"/>
      <c r="I334" s="1270"/>
      <c r="J334" s="1270"/>
      <c r="K334" s="1270"/>
      <c r="L334" s="1270"/>
      <c r="M334" s="1270"/>
      <c r="N334" s="1270"/>
      <c r="O334" s="1270"/>
      <c r="P334" s="1270"/>
      <c r="Q334" s="1270"/>
      <c r="R334" s="1270"/>
      <c r="S334" s="1270"/>
      <c r="T334" s="1270"/>
      <c r="V334" s="630">
        <f t="shared" si="111"/>
      </c>
      <c r="X334" s="686"/>
      <c r="Y334" s="686"/>
      <c r="Z334" s="686"/>
    </row>
    <row r="335" spans="1:26" s="478" customFormat="1" ht="27.75" customHeight="1">
      <c r="A335" s="523">
        <v>5</v>
      </c>
      <c r="B335" s="524">
        <v>2</v>
      </c>
      <c r="C335" s="524">
        <v>2</v>
      </c>
      <c r="D335" s="1139">
        <v>1536</v>
      </c>
      <c r="E335" s="1138">
        <v>201</v>
      </c>
      <c r="F335" s="525" t="s">
        <v>216</v>
      </c>
      <c r="G335" s="532" t="s">
        <v>215</v>
      </c>
      <c r="H335" s="490"/>
      <c r="I335" s="490"/>
      <c r="J335" s="490"/>
      <c r="K335" s="490"/>
      <c r="L335" s="589"/>
      <c r="M335" s="589"/>
      <c r="N335" s="589"/>
      <c r="O335" s="490"/>
      <c r="P335" s="490"/>
      <c r="Q335" s="526"/>
      <c r="R335" s="490"/>
      <c r="S335" s="489"/>
      <c r="T335" s="675">
        <f>H335+N335</f>
        <v>0</v>
      </c>
      <c r="V335" s="630">
        <f t="shared" si="111"/>
      </c>
      <c r="X335" s="617"/>
      <c r="Y335" s="617"/>
      <c r="Z335" s="617"/>
    </row>
    <row r="336" spans="1:26" s="478" customFormat="1" ht="27.75" customHeight="1">
      <c r="A336" s="414">
        <v>5</v>
      </c>
      <c r="B336" s="518">
        <v>2</v>
      </c>
      <c r="C336" s="518">
        <v>2</v>
      </c>
      <c r="D336" s="1134">
        <v>1537</v>
      </c>
      <c r="E336" s="1136">
        <v>202</v>
      </c>
      <c r="F336" s="439" t="s">
        <v>258</v>
      </c>
      <c r="G336" s="531" t="s">
        <v>989</v>
      </c>
      <c r="H336" s="521"/>
      <c r="I336" s="521"/>
      <c r="J336" s="521"/>
      <c r="K336" s="521"/>
      <c r="L336" s="588"/>
      <c r="M336" s="588"/>
      <c r="N336" s="588"/>
      <c r="O336" s="521"/>
      <c r="P336" s="521"/>
      <c r="Q336" s="522"/>
      <c r="R336" s="521"/>
      <c r="S336" s="522"/>
      <c r="T336" s="675">
        <f>H336+N336</f>
        <v>0</v>
      </c>
      <c r="V336" s="630">
        <f t="shared" si="111"/>
      </c>
      <c r="X336" s="617"/>
      <c r="Y336" s="617"/>
      <c r="Z336" s="617"/>
    </row>
    <row r="337" spans="1:22" ht="27" customHeight="1" thickBot="1">
      <c r="A337" s="1284" t="s">
        <v>45</v>
      </c>
      <c r="B337" s="1285"/>
      <c r="C337" s="1285"/>
      <c r="D337" s="1285"/>
      <c r="E337" s="1285"/>
      <c r="F337" s="1285"/>
      <c r="G337" s="1286"/>
      <c r="H337" s="513">
        <f aca="true" t="shared" si="114" ref="H337:Q337">SUM(H335:H336)</f>
        <v>0</v>
      </c>
      <c r="I337" s="513">
        <f t="shared" si="114"/>
        <v>0</v>
      </c>
      <c r="J337" s="513">
        <f t="shared" si="114"/>
        <v>0</v>
      </c>
      <c r="K337" s="513">
        <f t="shared" si="114"/>
        <v>0</v>
      </c>
      <c r="L337" s="578">
        <f t="shared" si="114"/>
        <v>0</v>
      </c>
      <c r="M337" s="578">
        <f t="shared" si="114"/>
        <v>0</v>
      </c>
      <c r="N337" s="578">
        <f t="shared" si="114"/>
        <v>0</v>
      </c>
      <c r="O337" s="513">
        <f t="shared" si="114"/>
        <v>0</v>
      </c>
      <c r="P337" s="513">
        <f t="shared" si="114"/>
        <v>0</v>
      </c>
      <c r="Q337" s="514">
        <f t="shared" si="114"/>
        <v>0</v>
      </c>
      <c r="R337" s="514">
        <f>SUM(R335:R336)</f>
        <v>0</v>
      </c>
      <c r="S337" s="514">
        <f>SUM(S335:S336)</f>
        <v>0</v>
      </c>
      <c r="T337" s="670">
        <f>SUM(T335:T336)</f>
        <v>0</v>
      </c>
      <c r="V337" s="630">
        <f t="shared" si="111"/>
      </c>
    </row>
    <row r="338" spans="1:24" s="686" customFormat="1" ht="21" customHeight="1" thickBot="1">
      <c r="A338" s="1262" t="s">
        <v>47</v>
      </c>
      <c r="B338" s="1263"/>
      <c r="C338" s="1263"/>
      <c r="D338" s="1263"/>
      <c r="E338" s="1263"/>
      <c r="F338" s="1263"/>
      <c r="G338" s="1264"/>
      <c r="H338" s="586">
        <f aca="true" t="shared" si="115" ref="H338:T338">H337</f>
        <v>0</v>
      </c>
      <c r="I338" s="586">
        <f t="shared" si="115"/>
        <v>0</v>
      </c>
      <c r="J338" s="586">
        <f t="shared" si="115"/>
        <v>0</v>
      </c>
      <c r="K338" s="586">
        <f t="shared" si="115"/>
        <v>0</v>
      </c>
      <c r="L338" s="586">
        <f t="shared" si="115"/>
        <v>0</v>
      </c>
      <c r="M338" s="586">
        <f t="shared" si="115"/>
        <v>0</v>
      </c>
      <c r="N338" s="586">
        <f t="shared" si="115"/>
        <v>0</v>
      </c>
      <c r="O338" s="586">
        <f t="shared" si="115"/>
        <v>0</v>
      </c>
      <c r="P338" s="586">
        <f t="shared" si="115"/>
        <v>0</v>
      </c>
      <c r="Q338" s="586">
        <f t="shared" si="115"/>
        <v>0</v>
      </c>
      <c r="R338" s="586">
        <f t="shared" si="115"/>
        <v>0</v>
      </c>
      <c r="S338" s="586">
        <f t="shared" si="115"/>
        <v>0</v>
      </c>
      <c r="T338" s="586">
        <f t="shared" si="115"/>
        <v>0</v>
      </c>
      <c r="V338" s="630">
        <f t="shared" si="111"/>
      </c>
      <c r="X338" s="687"/>
    </row>
    <row r="339" spans="1:26" s="482" customFormat="1" ht="21" customHeight="1" thickBot="1">
      <c r="A339" s="1259" t="s">
        <v>48</v>
      </c>
      <c r="B339" s="1260"/>
      <c r="C339" s="1260"/>
      <c r="D339" s="1260"/>
      <c r="E339" s="1260"/>
      <c r="F339" s="1260"/>
      <c r="G339" s="1261"/>
      <c r="H339" s="1269"/>
      <c r="I339" s="1270"/>
      <c r="J339" s="1270"/>
      <c r="K339" s="1270"/>
      <c r="L339" s="1270"/>
      <c r="M339" s="1270"/>
      <c r="N339" s="1270"/>
      <c r="O339" s="1270"/>
      <c r="P339" s="1270"/>
      <c r="Q339" s="1270"/>
      <c r="R339" s="1270"/>
      <c r="S339" s="1270"/>
      <c r="T339" s="1270"/>
      <c r="V339" s="630">
        <f t="shared" si="111"/>
      </c>
      <c r="X339" s="686"/>
      <c r="Y339" s="686"/>
      <c r="Z339" s="686"/>
    </row>
    <row r="340" spans="1:26" s="478" customFormat="1" ht="27.75" customHeight="1">
      <c r="A340" s="381">
        <v>6</v>
      </c>
      <c r="B340" s="483">
        <v>1</v>
      </c>
      <c r="C340" s="483">
        <v>2</v>
      </c>
      <c r="D340" s="1132" t="s">
        <v>829</v>
      </c>
      <c r="E340" s="952">
        <v>202</v>
      </c>
      <c r="F340" s="452" t="s">
        <v>892</v>
      </c>
      <c r="G340" s="1037" t="s">
        <v>830</v>
      </c>
      <c r="H340" s="486">
        <v>744.89</v>
      </c>
      <c r="I340" s="486"/>
      <c r="J340" s="486"/>
      <c r="K340" s="486"/>
      <c r="L340" s="579"/>
      <c r="M340" s="579"/>
      <c r="N340" s="579"/>
      <c r="O340" s="488"/>
      <c r="P340" s="488"/>
      <c r="Q340" s="488"/>
      <c r="R340" s="486"/>
      <c r="S340" s="491"/>
      <c r="T340" s="1494">
        <f>H340+N340</f>
        <v>744.89</v>
      </c>
      <c r="V340" s="630">
        <f t="shared" si="111"/>
      </c>
      <c r="X340" s="617"/>
      <c r="Y340" s="617"/>
      <c r="Z340" s="617"/>
    </row>
    <row r="341" spans="1:26" s="478" customFormat="1" ht="27.75" customHeight="1">
      <c r="A341" s="381">
        <v>6</v>
      </c>
      <c r="B341" s="483">
        <v>1</v>
      </c>
      <c r="C341" s="483">
        <v>2</v>
      </c>
      <c r="D341" s="1105" t="s">
        <v>889</v>
      </c>
      <c r="E341" s="952">
        <v>202</v>
      </c>
      <c r="F341" s="452" t="s">
        <v>892</v>
      </c>
      <c r="G341" s="531" t="s">
        <v>1036</v>
      </c>
      <c r="H341" s="486">
        <v>2601.54</v>
      </c>
      <c r="I341" s="486"/>
      <c r="J341" s="486">
        <v>9829.54</v>
      </c>
      <c r="K341" s="486"/>
      <c r="L341" s="1186">
        <v>15000</v>
      </c>
      <c r="M341" s="579"/>
      <c r="N341" s="579"/>
      <c r="O341" s="738"/>
      <c r="P341" s="738"/>
      <c r="Q341" s="738"/>
      <c r="R341" s="579"/>
      <c r="S341" s="491"/>
      <c r="T341" s="1494">
        <f>H341+N341</f>
        <v>2601.54</v>
      </c>
      <c r="V341" s="630">
        <f t="shared" si="111"/>
      </c>
      <c r="X341" s="617"/>
      <c r="Y341" s="617"/>
      <c r="Z341" s="617"/>
    </row>
    <row r="342" spans="1:26" s="478" customFormat="1" ht="27.75" customHeight="1">
      <c r="A342" s="381">
        <v>6</v>
      </c>
      <c r="B342" s="483">
        <v>1</v>
      </c>
      <c r="C342" s="483">
        <v>2</v>
      </c>
      <c r="D342" s="1132" t="s">
        <v>906</v>
      </c>
      <c r="E342" s="952">
        <v>202</v>
      </c>
      <c r="F342" s="452" t="s">
        <v>892</v>
      </c>
      <c r="G342" s="531" t="s">
        <v>1061</v>
      </c>
      <c r="H342" s="486">
        <v>6971.26</v>
      </c>
      <c r="I342" s="486"/>
      <c r="J342" s="486">
        <v>8772.35</v>
      </c>
      <c r="K342" s="486"/>
      <c r="L342" s="1186">
        <v>195000</v>
      </c>
      <c r="M342" s="579"/>
      <c r="N342" s="1458">
        <f>40000+160000</f>
        <v>200000</v>
      </c>
      <c r="O342" s="738"/>
      <c r="P342" s="1461">
        <f>100000+100000</f>
        <v>200000</v>
      </c>
      <c r="Q342" s="738"/>
      <c r="R342" s="579"/>
      <c r="S342" s="491"/>
      <c r="T342" s="1494">
        <f>H342+N342</f>
        <v>206971.26</v>
      </c>
      <c r="V342" s="630">
        <f t="shared" si="111"/>
      </c>
      <c r="X342" s="617"/>
      <c r="Y342" s="617"/>
      <c r="Z342" s="617"/>
    </row>
    <row r="343" spans="1:26" s="478" customFormat="1" ht="27.75" customHeight="1">
      <c r="A343" s="381">
        <v>6</v>
      </c>
      <c r="B343" s="483">
        <v>1</v>
      </c>
      <c r="C343" s="483">
        <v>2</v>
      </c>
      <c r="D343" s="1132" t="s">
        <v>1037</v>
      </c>
      <c r="E343" s="952">
        <v>202</v>
      </c>
      <c r="F343" s="452" t="s">
        <v>892</v>
      </c>
      <c r="G343" s="531" t="s">
        <v>1038</v>
      </c>
      <c r="H343" s="486"/>
      <c r="I343" s="486"/>
      <c r="J343" s="486"/>
      <c r="K343" s="486"/>
      <c r="L343" s="1186">
        <v>40000</v>
      </c>
      <c r="M343" s="579"/>
      <c r="N343" s="1458">
        <v>340000</v>
      </c>
      <c r="O343" s="738"/>
      <c r="P343" s="1461">
        <v>353000</v>
      </c>
      <c r="Q343" s="738"/>
      <c r="R343" s="579"/>
      <c r="S343" s="491"/>
      <c r="T343" s="1494">
        <f>H343+N343</f>
        <v>340000</v>
      </c>
      <c r="V343" s="630">
        <f t="shared" si="111"/>
      </c>
      <c r="X343" s="617"/>
      <c r="Y343" s="617"/>
      <c r="Z343" s="617"/>
    </row>
    <row r="344" spans="1:26" s="478" customFormat="1" ht="27.75" customHeight="1">
      <c r="A344" s="381">
        <v>6</v>
      </c>
      <c r="B344" s="483">
        <v>1</v>
      </c>
      <c r="C344" s="483">
        <v>2</v>
      </c>
      <c r="D344" s="1132">
        <v>2066</v>
      </c>
      <c r="E344" s="952">
        <v>202</v>
      </c>
      <c r="F344" s="452" t="s">
        <v>892</v>
      </c>
      <c r="G344" s="531" t="s">
        <v>1039</v>
      </c>
      <c r="H344" s="486">
        <v>40000</v>
      </c>
      <c r="I344" s="486"/>
      <c r="J344" s="486">
        <v>40000</v>
      </c>
      <c r="K344" s="486"/>
      <c r="L344" s="1186">
        <v>10000</v>
      </c>
      <c r="M344" s="1165">
        <v>30000</v>
      </c>
      <c r="N344" s="579"/>
      <c r="O344" s="738"/>
      <c r="P344" s="738"/>
      <c r="Q344" s="738"/>
      <c r="R344" s="579"/>
      <c r="S344" s="491"/>
      <c r="T344" s="1494">
        <f>H344+N344</f>
        <v>40000</v>
      </c>
      <c r="V344" s="630">
        <f t="shared" si="111"/>
      </c>
      <c r="X344" s="617"/>
      <c r="Y344" s="617"/>
      <c r="Z344" s="617"/>
    </row>
    <row r="345" spans="1:26" s="478" customFormat="1" ht="27.75" customHeight="1">
      <c r="A345" s="381">
        <v>6</v>
      </c>
      <c r="B345" s="483">
        <v>1</v>
      </c>
      <c r="C345" s="483">
        <v>2</v>
      </c>
      <c r="D345" s="1105">
        <v>2083</v>
      </c>
      <c r="E345" s="952">
        <v>202</v>
      </c>
      <c r="F345" s="452" t="s">
        <v>892</v>
      </c>
      <c r="G345" s="531" t="s">
        <v>1041</v>
      </c>
      <c r="H345" s="486"/>
      <c r="I345" s="486"/>
      <c r="J345" s="486"/>
      <c r="K345" s="486"/>
      <c r="L345" s="1186">
        <f>ENTRATA!J119+156000</f>
        <v>520000</v>
      </c>
      <c r="M345" s="579"/>
      <c r="N345" s="579"/>
      <c r="O345" s="738"/>
      <c r="P345" s="738"/>
      <c r="Q345" s="738"/>
      <c r="R345" s="1458">
        <f>156000+364000</f>
        <v>520000</v>
      </c>
      <c r="S345" s="491"/>
      <c r="T345" s="625">
        <f>H345+N345</f>
        <v>0</v>
      </c>
      <c r="V345" s="630">
        <f t="shared" si="111"/>
      </c>
      <c r="X345" s="617"/>
      <c r="Y345" s="617"/>
      <c r="Z345" s="617"/>
    </row>
    <row r="346" spans="1:26" s="478" customFormat="1" ht="27.75" customHeight="1">
      <c r="A346" s="381">
        <v>6</v>
      </c>
      <c r="B346" s="483">
        <v>1</v>
      </c>
      <c r="C346" s="483">
        <v>2</v>
      </c>
      <c r="D346" s="1100">
        <v>2107</v>
      </c>
      <c r="E346" s="952">
        <v>202</v>
      </c>
      <c r="F346" s="452" t="s">
        <v>892</v>
      </c>
      <c r="G346" s="531" t="s">
        <v>844</v>
      </c>
      <c r="H346" s="486"/>
      <c r="I346" s="486"/>
      <c r="J346" s="486"/>
      <c r="K346" s="486"/>
      <c r="L346" s="579"/>
      <c r="M346" s="579"/>
      <c r="N346" s="486"/>
      <c r="O346" s="738"/>
      <c r="P346" s="579"/>
      <c r="Q346" s="738"/>
      <c r="R346" s="579"/>
      <c r="S346" s="491"/>
      <c r="T346" s="625">
        <f>H346+N346</f>
        <v>0</v>
      </c>
      <c r="V346" s="630">
        <f t="shared" si="111"/>
      </c>
      <c r="X346" s="617"/>
      <c r="Y346" s="617"/>
      <c r="Z346" s="617"/>
    </row>
    <row r="347" spans="1:26" s="482" customFormat="1" ht="27.75" customHeight="1" thickBot="1">
      <c r="A347" s="1291" t="s">
        <v>166</v>
      </c>
      <c r="B347" s="1292"/>
      <c r="C347" s="1292"/>
      <c r="D347" s="1292"/>
      <c r="E347" s="1292"/>
      <c r="F347" s="1292"/>
      <c r="G347" s="1293"/>
      <c r="H347" s="1492">
        <f aca="true" t="shared" si="116" ref="H347:T347">SUM(H340:H346)</f>
        <v>50317.69</v>
      </c>
      <c r="I347" s="1038">
        <f t="shared" si="116"/>
        <v>0</v>
      </c>
      <c r="J347" s="1038">
        <f t="shared" si="116"/>
        <v>58601.89</v>
      </c>
      <c r="K347" s="1038">
        <f t="shared" si="116"/>
        <v>0</v>
      </c>
      <c r="L347" s="1038">
        <f t="shared" si="116"/>
        <v>780000</v>
      </c>
      <c r="M347" s="1038">
        <f t="shared" si="116"/>
        <v>30000</v>
      </c>
      <c r="N347" s="1038">
        <f t="shared" si="116"/>
        <v>540000</v>
      </c>
      <c r="O347" s="1039">
        <f t="shared" si="116"/>
        <v>0</v>
      </c>
      <c r="P347" s="1039">
        <f t="shared" si="116"/>
        <v>553000</v>
      </c>
      <c r="Q347" s="1039">
        <f t="shared" si="116"/>
        <v>0</v>
      </c>
      <c r="R347" s="1039">
        <f t="shared" si="116"/>
        <v>520000</v>
      </c>
      <c r="S347" s="1039">
        <f t="shared" si="116"/>
        <v>0</v>
      </c>
      <c r="T347" s="678">
        <f t="shared" si="116"/>
        <v>590317.69</v>
      </c>
      <c r="V347" s="630">
        <f t="shared" si="111"/>
      </c>
      <c r="X347" s="686"/>
      <c r="Y347" s="686"/>
      <c r="Z347" s="686"/>
    </row>
    <row r="348" spans="1:26" s="478" customFormat="1" ht="27.75" customHeight="1">
      <c r="A348" s="381">
        <v>6</v>
      </c>
      <c r="B348" s="483">
        <v>2</v>
      </c>
      <c r="C348" s="483">
        <v>2</v>
      </c>
      <c r="D348" s="310"/>
      <c r="E348" s="483"/>
      <c r="F348" s="452"/>
      <c r="G348" s="485"/>
      <c r="H348" s="486"/>
      <c r="I348" s="486"/>
      <c r="J348" s="486"/>
      <c r="K348" s="486"/>
      <c r="L348" s="579"/>
      <c r="M348" s="579"/>
      <c r="N348" s="579"/>
      <c r="O348" s="488"/>
      <c r="P348" s="488"/>
      <c r="Q348" s="488"/>
      <c r="R348" s="486"/>
      <c r="S348" s="491"/>
      <c r="T348" s="625"/>
      <c r="V348" s="630">
        <f t="shared" si="111"/>
      </c>
      <c r="X348" s="617"/>
      <c r="Y348" s="617"/>
      <c r="Z348" s="617"/>
    </row>
    <row r="349" spans="1:26" s="478" customFormat="1" ht="27.75" customHeight="1">
      <c r="A349" s="386">
        <v>6</v>
      </c>
      <c r="B349" s="483">
        <v>2</v>
      </c>
      <c r="C349" s="493">
        <v>2</v>
      </c>
      <c r="D349" s="494"/>
      <c r="E349" s="493"/>
      <c r="F349" s="453"/>
      <c r="G349" s="533"/>
      <c r="H349" s="495"/>
      <c r="I349" s="495"/>
      <c r="J349" s="495"/>
      <c r="K349" s="495"/>
      <c r="L349" s="576"/>
      <c r="M349" s="576"/>
      <c r="N349" s="576"/>
      <c r="O349" s="497"/>
      <c r="P349" s="497"/>
      <c r="Q349" s="497"/>
      <c r="R349" s="495"/>
      <c r="S349" s="498"/>
      <c r="T349" s="622"/>
      <c r="V349" s="630">
        <f t="shared" si="111"/>
      </c>
      <c r="X349" s="617"/>
      <c r="Y349" s="617"/>
      <c r="Z349" s="617"/>
    </row>
    <row r="350" spans="1:26" s="478" customFormat="1" ht="27.75" customHeight="1">
      <c r="A350" s="386">
        <v>6</v>
      </c>
      <c r="B350" s="483">
        <v>2</v>
      </c>
      <c r="C350" s="493">
        <v>2</v>
      </c>
      <c r="D350" s="494"/>
      <c r="E350" s="493"/>
      <c r="F350" s="453"/>
      <c r="G350" s="500"/>
      <c r="H350" s="496"/>
      <c r="I350" s="496"/>
      <c r="J350" s="496"/>
      <c r="K350" s="496"/>
      <c r="L350" s="576"/>
      <c r="M350" s="576"/>
      <c r="N350" s="576"/>
      <c r="O350" s="497"/>
      <c r="P350" s="497"/>
      <c r="Q350" s="497"/>
      <c r="R350" s="495"/>
      <c r="S350" s="498"/>
      <c r="T350" s="622"/>
      <c r="V350" s="630">
        <f t="shared" si="111"/>
      </c>
      <c r="X350" s="617"/>
      <c r="Y350" s="617"/>
      <c r="Z350" s="617"/>
    </row>
    <row r="351" spans="1:26" s="478" customFormat="1" ht="27.75" customHeight="1">
      <c r="A351" s="386">
        <v>6</v>
      </c>
      <c r="B351" s="483">
        <v>2</v>
      </c>
      <c r="C351" s="493">
        <v>2</v>
      </c>
      <c r="D351" s="494"/>
      <c r="E351" s="483"/>
      <c r="F351" s="452"/>
      <c r="G351" s="533"/>
      <c r="H351" s="496"/>
      <c r="I351" s="496"/>
      <c r="J351" s="496"/>
      <c r="K351" s="496"/>
      <c r="L351" s="576"/>
      <c r="M351" s="576"/>
      <c r="N351" s="576"/>
      <c r="O351" s="497"/>
      <c r="P351" s="497"/>
      <c r="Q351" s="497"/>
      <c r="R351" s="495"/>
      <c r="S351" s="498"/>
      <c r="T351" s="622"/>
      <c r="V351" s="630">
        <f t="shared" si="111"/>
      </c>
      <c r="X351" s="617"/>
      <c r="Y351" s="617"/>
      <c r="Z351" s="617"/>
    </row>
    <row r="352" spans="1:26" s="478" customFormat="1" ht="27.75" customHeight="1">
      <c r="A352" s="386">
        <v>6</v>
      </c>
      <c r="B352" s="483">
        <v>2</v>
      </c>
      <c r="C352" s="493">
        <v>2</v>
      </c>
      <c r="D352" s="494"/>
      <c r="E352" s="483"/>
      <c r="F352" s="452"/>
      <c r="G352" s="531"/>
      <c r="H352" s="495"/>
      <c r="I352" s="495"/>
      <c r="J352" s="495"/>
      <c r="K352" s="495"/>
      <c r="L352" s="576"/>
      <c r="M352" s="576"/>
      <c r="N352" s="576"/>
      <c r="O352" s="497"/>
      <c r="P352" s="497"/>
      <c r="Q352" s="497"/>
      <c r="R352" s="495"/>
      <c r="S352" s="498"/>
      <c r="T352" s="622"/>
      <c r="V352" s="630">
        <f t="shared" si="111"/>
      </c>
      <c r="X352" s="617"/>
      <c r="Y352" s="617"/>
      <c r="Z352" s="617"/>
    </row>
    <row r="353" spans="1:26" s="478" customFormat="1" ht="27.75" customHeight="1">
      <c r="A353" s="406">
        <v>6</v>
      </c>
      <c r="B353" s="483">
        <v>2</v>
      </c>
      <c r="C353" s="501">
        <v>2</v>
      </c>
      <c r="D353" s="508"/>
      <c r="E353" s="518"/>
      <c r="F353" s="452"/>
      <c r="G353" s="531"/>
      <c r="H353" s="505"/>
      <c r="I353" s="505"/>
      <c r="J353" s="505"/>
      <c r="K353" s="505"/>
      <c r="L353" s="577"/>
      <c r="M353" s="577"/>
      <c r="N353" s="577"/>
      <c r="O353" s="506"/>
      <c r="P353" s="506"/>
      <c r="Q353" s="506"/>
      <c r="R353" s="505"/>
      <c r="S353" s="507"/>
      <c r="T353" s="641"/>
      <c r="V353" s="630">
        <f t="shared" si="111"/>
      </c>
      <c r="X353" s="617"/>
      <c r="Y353" s="617"/>
      <c r="Z353" s="617"/>
    </row>
    <row r="354" spans="1:26" s="478" customFormat="1" ht="27.75" customHeight="1">
      <c r="A354" s="406">
        <v>6</v>
      </c>
      <c r="B354" s="483">
        <v>2</v>
      </c>
      <c r="C354" s="501">
        <v>2</v>
      </c>
      <c r="D354" s="508"/>
      <c r="E354" s="501"/>
      <c r="F354" s="502"/>
      <c r="G354" s="515"/>
      <c r="H354" s="505"/>
      <c r="I354" s="505"/>
      <c r="J354" s="505"/>
      <c r="K354" s="505"/>
      <c r="L354" s="577"/>
      <c r="M354" s="577"/>
      <c r="N354" s="577"/>
      <c r="O354" s="506"/>
      <c r="P354" s="506"/>
      <c r="Q354" s="511"/>
      <c r="R354" s="505"/>
      <c r="S354" s="507"/>
      <c r="T354" s="810"/>
      <c r="V354" s="630">
        <f t="shared" si="111"/>
      </c>
      <c r="X354" s="617"/>
      <c r="Y354" s="617"/>
      <c r="Z354" s="617"/>
    </row>
    <row r="355" spans="1:22" ht="27" customHeight="1" thickBot="1">
      <c r="A355" s="1287" t="s">
        <v>50</v>
      </c>
      <c r="B355" s="1288"/>
      <c r="C355" s="1288"/>
      <c r="D355" s="1288"/>
      <c r="E355" s="1288"/>
      <c r="F355" s="1288"/>
      <c r="G355" s="1289"/>
      <c r="H355" s="512">
        <f>SUM(H348:H354)</f>
        <v>0</v>
      </c>
      <c r="I355" s="512">
        <f aca="true" t="shared" si="117" ref="I355:T355">SUM(I348:I354)</f>
        <v>0</v>
      </c>
      <c r="J355" s="512">
        <f t="shared" si="117"/>
        <v>0</v>
      </c>
      <c r="K355" s="512">
        <f t="shared" si="117"/>
        <v>0</v>
      </c>
      <c r="L355" s="580">
        <f t="shared" si="117"/>
        <v>0</v>
      </c>
      <c r="M355" s="580">
        <f t="shared" si="117"/>
        <v>0</v>
      </c>
      <c r="N355" s="512">
        <f t="shared" si="117"/>
        <v>0</v>
      </c>
      <c r="O355" s="512">
        <f t="shared" si="117"/>
        <v>0</v>
      </c>
      <c r="P355" s="512">
        <f t="shared" si="117"/>
        <v>0</v>
      </c>
      <c r="Q355" s="512">
        <f t="shared" si="117"/>
        <v>0</v>
      </c>
      <c r="R355" s="512">
        <f t="shared" si="117"/>
        <v>0</v>
      </c>
      <c r="S355" s="512">
        <f t="shared" si="117"/>
        <v>0</v>
      </c>
      <c r="T355" s="809">
        <f t="shared" si="117"/>
        <v>0</v>
      </c>
      <c r="V355" s="630">
        <f t="shared" si="111"/>
      </c>
    </row>
    <row r="356" spans="1:26" s="686" customFormat="1" ht="21" customHeight="1" thickBot="1">
      <c r="A356" s="1262" t="s">
        <v>51</v>
      </c>
      <c r="B356" s="1263"/>
      <c r="C356" s="1263"/>
      <c r="D356" s="1263"/>
      <c r="E356" s="1263"/>
      <c r="F356" s="1263"/>
      <c r="G356" s="1264"/>
      <c r="H356" s="586">
        <f>H347+H355</f>
        <v>50317.69</v>
      </c>
      <c r="I356" s="586">
        <f aca="true" t="shared" si="118" ref="I356:R356">I347+I355</f>
        <v>0</v>
      </c>
      <c r="J356" s="586">
        <f t="shared" si="118"/>
        <v>58601.89</v>
      </c>
      <c r="K356" s="586">
        <f t="shared" si="118"/>
        <v>0</v>
      </c>
      <c r="L356" s="586">
        <f t="shared" si="118"/>
        <v>780000</v>
      </c>
      <c r="M356" s="586">
        <f t="shared" si="118"/>
        <v>30000</v>
      </c>
      <c r="N356" s="586">
        <f t="shared" si="118"/>
        <v>540000</v>
      </c>
      <c r="O356" s="586">
        <f t="shared" si="118"/>
        <v>0</v>
      </c>
      <c r="P356" s="586">
        <f t="shared" si="118"/>
        <v>553000</v>
      </c>
      <c r="Q356" s="586">
        <f t="shared" si="118"/>
        <v>0</v>
      </c>
      <c r="R356" s="586">
        <f t="shared" si="118"/>
        <v>520000</v>
      </c>
      <c r="S356" s="586">
        <f>S347+S355</f>
        <v>0</v>
      </c>
      <c r="T356" s="586">
        <f>T347+T355</f>
        <v>590317.69</v>
      </c>
      <c r="V356" s="630">
        <f t="shared" si="111"/>
      </c>
      <c r="X356" s="687"/>
      <c r="Z356" s="687"/>
    </row>
    <row r="357" spans="1:26" s="482" customFormat="1" ht="21" customHeight="1" thickBot="1">
      <c r="A357" s="1259" t="s">
        <v>52</v>
      </c>
      <c r="B357" s="1260"/>
      <c r="C357" s="1260"/>
      <c r="D357" s="1260"/>
      <c r="E357" s="1260"/>
      <c r="F357" s="1260"/>
      <c r="G357" s="1261"/>
      <c r="H357" s="1269"/>
      <c r="I357" s="1270"/>
      <c r="J357" s="1270"/>
      <c r="K357" s="1270"/>
      <c r="L357" s="1270"/>
      <c r="M357" s="1270"/>
      <c r="N357" s="1270"/>
      <c r="O357" s="1270"/>
      <c r="P357" s="1270"/>
      <c r="Q357" s="1270"/>
      <c r="R357" s="1270"/>
      <c r="S357" s="1270"/>
      <c r="T357" s="1270"/>
      <c r="V357" s="630">
        <f t="shared" si="111"/>
      </c>
      <c r="X357" s="686"/>
      <c r="Y357" s="686"/>
      <c r="Z357" s="695"/>
    </row>
    <row r="358" spans="1:26" s="478" customFormat="1" ht="27.75" customHeight="1">
      <c r="A358" s="381">
        <v>8</v>
      </c>
      <c r="B358" s="483">
        <v>1</v>
      </c>
      <c r="C358" s="483">
        <v>2</v>
      </c>
      <c r="D358" s="1111">
        <v>1524</v>
      </c>
      <c r="E358" s="952">
        <v>202</v>
      </c>
      <c r="F358" s="452" t="s">
        <v>155</v>
      </c>
      <c r="G358" s="531" t="s">
        <v>1063</v>
      </c>
      <c r="H358" s="487">
        <v>6572.28</v>
      </c>
      <c r="I358" s="487"/>
      <c r="J358" s="487">
        <v>6572.28</v>
      </c>
      <c r="K358" s="487"/>
      <c r="L358" s="1186">
        <v>0</v>
      </c>
      <c r="M358" s="1165">
        <v>6572.28</v>
      </c>
      <c r="N358" s="1458">
        <v>25000</v>
      </c>
      <c r="O358" s="738"/>
      <c r="P358" s="838"/>
      <c r="Q358" s="738"/>
      <c r="R358" s="579"/>
      <c r="S358" s="491"/>
      <c r="T358" s="1494">
        <f>H358+N358</f>
        <v>31572.28</v>
      </c>
      <c r="V358" s="630">
        <f t="shared" si="111"/>
      </c>
      <c r="X358" s="617"/>
      <c r="Y358" s="617"/>
      <c r="Z358" s="617"/>
    </row>
    <row r="359" spans="1:26" s="478" customFormat="1" ht="27.75" customHeight="1">
      <c r="A359" s="381">
        <v>8</v>
      </c>
      <c r="B359" s="483">
        <v>1</v>
      </c>
      <c r="C359" s="483">
        <v>2</v>
      </c>
      <c r="D359" s="1111">
        <v>1525</v>
      </c>
      <c r="E359" s="952">
        <v>202</v>
      </c>
      <c r="F359" s="452" t="s">
        <v>155</v>
      </c>
      <c r="G359" s="531" t="s">
        <v>846</v>
      </c>
      <c r="H359" s="487">
        <v>1916.06</v>
      </c>
      <c r="I359" s="487"/>
      <c r="J359" s="487"/>
      <c r="K359" s="487"/>
      <c r="L359" s="579"/>
      <c r="M359" s="579"/>
      <c r="N359" s="579"/>
      <c r="O359" s="738"/>
      <c r="P359" s="841"/>
      <c r="Q359" s="738"/>
      <c r="R359" s="579"/>
      <c r="S359" s="491"/>
      <c r="T359" s="1494">
        <f>H359+N359</f>
        <v>1916.06</v>
      </c>
      <c r="V359" s="630">
        <f t="shared" si="111"/>
      </c>
      <c r="X359" s="617"/>
      <c r="Y359" s="617"/>
      <c r="Z359" s="617"/>
    </row>
    <row r="360" spans="1:26" s="478" customFormat="1" ht="27.75" customHeight="1">
      <c r="A360" s="381">
        <v>8</v>
      </c>
      <c r="B360" s="483">
        <v>1</v>
      </c>
      <c r="C360" s="483">
        <v>2</v>
      </c>
      <c r="D360" s="1132">
        <v>2137</v>
      </c>
      <c r="E360" s="952">
        <v>202</v>
      </c>
      <c r="F360" s="452" t="s">
        <v>155</v>
      </c>
      <c r="G360" s="531" t="s">
        <v>853</v>
      </c>
      <c r="H360" s="487"/>
      <c r="I360" s="487"/>
      <c r="J360" s="487"/>
      <c r="K360" s="487"/>
      <c r="L360" s="579"/>
      <c r="M360" s="579"/>
      <c r="N360" s="579"/>
      <c r="O360" s="738"/>
      <c r="P360" s="738"/>
      <c r="Q360" s="738"/>
      <c r="R360" s="579"/>
      <c r="S360" s="491"/>
      <c r="T360" s="625">
        <f>H360+N360</f>
        <v>0</v>
      </c>
      <c r="V360" s="630">
        <f t="shared" si="111"/>
      </c>
      <c r="X360" s="617"/>
      <c r="Y360" s="617"/>
      <c r="Z360" s="617"/>
    </row>
    <row r="361" spans="1:26" s="478" customFormat="1" ht="27.75" customHeight="1">
      <c r="A361" s="381">
        <v>8</v>
      </c>
      <c r="B361" s="483">
        <v>1</v>
      </c>
      <c r="C361" s="483">
        <v>2</v>
      </c>
      <c r="D361" s="1132" t="s">
        <v>955</v>
      </c>
      <c r="E361" s="952">
        <v>202</v>
      </c>
      <c r="F361" s="452" t="s">
        <v>956</v>
      </c>
      <c r="G361" s="531" t="s">
        <v>957</v>
      </c>
      <c r="H361" s="487"/>
      <c r="I361" s="487"/>
      <c r="J361" s="487">
        <v>8920.64</v>
      </c>
      <c r="K361" s="487"/>
      <c r="L361" s="1186">
        <v>9000</v>
      </c>
      <c r="M361" s="579"/>
      <c r="N361" s="579"/>
      <c r="O361" s="738"/>
      <c r="P361" s="738"/>
      <c r="Q361" s="738"/>
      <c r="R361" s="579"/>
      <c r="S361" s="491"/>
      <c r="T361" s="625">
        <f>H361+N361</f>
        <v>0</v>
      </c>
      <c r="V361" s="630">
        <f t="shared" si="111"/>
      </c>
      <c r="X361" s="617"/>
      <c r="Y361" s="617"/>
      <c r="Z361" s="617"/>
    </row>
    <row r="362" spans="1:26" s="478" customFormat="1" ht="27.75" customHeight="1">
      <c r="A362" s="386">
        <v>8</v>
      </c>
      <c r="B362" s="493">
        <v>1</v>
      </c>
      <c r="C362" s="493">
        <v>2</v>
      </c>
      <c r="D362" s="1128">
        <v>2211</v>
      </c>
      <c r="E362" s="453">
        <v>205</v>
      </c>
      <c r="F362" s="453" t="s">
        <v>129</v>
      </c>
      <c r="G362" s="500" t="s">
        <v>128</v>
      </c>
      <c r="H362" s="496">
        <v>44759.08</v>
      </c>
      <c r="I362" s="496"/>
      <c r="J362" s="496">
        <v>47405.08</v>
      </c>
      <c r="K362" s="496"/>
      <c r="L362" s="1187">
        <v>0</v>
      </c>
      <c r="M362" s="1162">
        <v>47405.08</v>
      </c>
      <c r="N362" s="576"/>
      <c r="O362" s="618"/>
      <c r="P362" s="618"/>
      <c r="Q362" s="618"/>
      <c r="R362" s="576"/>
      <c r="S362" s="498"/>
      <c r="T362" s="1494">
        <f>H362+N362</f>
        <v>44759.08</v>
      </c>
      <c r="V362" s="630">
        <f t="shared" si="111"/>
      </c>
      <c r="X362" s="617"/>
      <c r="Y362" s="617"/>
      <c r="Z362" s="617"/>
    </row>
    <row r="363" spans="1:22" ht="30.75" customHeight="1" thickBot="1">
      <c r="A363" s="1290" t="s">
        <v>256</v>
      </c>
      <c r="B363" s="1288"/>
      <c r="C363" s="1288"/>
      <c r="D363" s="1288"/>
      <c r="E363" s="1288"/>
      <c r="F363" s="1288"/>
      <c r="G363" s="1289"/>
      <c r="H363" s="1486">
        <f aca="true" t="shared" si="119" ref="H363:T363">SUM(H358:H362)</f>
        <v>53247.42</v>
      </c>
      <c r="I363" s="512">
        <f t="shared" si="119"/>
        <v>0</v>
      </c>
      <c r="J363" s="512">
        <f t="shared" si="119"/>
        <v>62898</v>
      </c>
      <c r="K363" s="512">
        <f t="shared" si="119"/>
        <v>0</v>
      </c>
      <c r="L363" s="578">
        <f t="shared" si="119"/>
        <v>9000</v>
      </c>
      <c r="M363" s="578">
        <f t="shared" si="119"/>
        <v>53977.36</v>
      </c>
      <c r="N363" s="578">
        <f>SUM(N358:N362)</f>
        <v>25000</v>
      </c>
      <c r="O363" s="513">
        <f t="shared" si="119"/>
        <v>0</v>
      </c>
      <c r="P363" s="513">
        <f t="shared" si="119"/>
        <v>0</v>
      </c>
      <c r="Q363" s="514">
        <f t="shared" si="119"/>
        <v>0</v>
      </c>
      <c r="R363" s="514">
        <f t="shared" si="119"/>
        <v>0</v>
      </c>
      <c r="S363" s="514">
        <f t="shared" si="119"/>
        <v>0</v>
      </c>
      <c r="T363" s="673">
        <f t="shared" si="119"/>
        <v>78247.42</v>
      </c>
      <c r="V363" s="630">
        <f t="shared" si="111"/>
      </c>
    </row>
    <row r="364" spans="1:26" s="686" customFormat="1" ht="21" customHeight="1" thickBot="1">
      <c r="A364" s="1262" t="s">
        <v>59</v>
      </c>
      <c r="B364" s="1263"/>
      <c r="C364" s="1263"/>
      <c r="D364" s="1263"/>
      <c r="E364" s="1263"/>
      <c r="F364" s="1263"/>
      <c r="G364" s="1264"/>
      <c r="H364" s="1489">
        <f>H363</f>
        <v>53247.42</v>
      </c>
      <c r="I364" s="586">
        <f aca="true" t="shared" si="120" ref="I364:O364">I363</f>
        <v>0</v>
      </c>
      <c r="J364" s="586">
        <f t="shared" si="120"/>
        <v>62898</v>
      </c>
      <c r="K364" s="586">
        <f t="shared" si="120"/>
        <v>0</v>
      </c>
      <c r="L364" s="586">
        <f t="shared" si="120"/>
        <v>9000</v>
      </c>
      <c r="M364" s="586">
        <f t="shared" si="120"/>
        <v>53977.36</v>
      </c>
      <c r="N364" s="586">
        <f t="shared" si="120"/>
        <v>25000</v>
      </c>
      <c r="O364" s="586">
        <f t="shared" si="120"/>
        <v>0</v>
      </c>
      <c r="P364" s="586">
        <f>P363</f>
        <v>0</v>
      </c>
      <c r="Q364" s="586">
        <f>Q363</f>
        <v>0</v>
      </c>
      <c r="R364" s="586">
        <f>R363</f>
        <v>0</v>
      </c>
      <c r="S364" s="586">
        <f>S363</f>
        <v>0</v>
      </c>
      <c r="T364" s="586">
        <f>T363</f>
        <v>78247.42</v>
      </c>
      <c r="V364" s="630">
        <f t="shared" si="111"/>
      </c>
      <c r="X364" s="687"/>
      <c r="Z364" s="687"/>
    </row>
    <row r="365" spans="1:26" s="482" customFormat="1" ht="21" customHeight="1" thickBot="1">
      <c r="A365" s="1259" t="s">
        <v>61</v>
      </c>
      <c r="B365" s="1260"/>
      <c r="C365" s="1260"/>
      <c r="D365" s="1260"/>
      <c r="E365" s="1260"/>
      <c r="F365" s="1260"/>
      <c r="G365" s="1261"/>
      <c r="H365" s="1269"/>
      <c r="I365" s="1270"/>
      <c r="J365" s="1270"/>
      <c r="K365" s="1270"/>
      <c r="L365" s="1270"/>
      <c r="M365" s="1270"/>
      <c r="N365" s="1270"/>
      <c r="O365" s="1270"/>
      <c r="P365" s="1270"/>
      <c r="Q365" s="1270"/>
      <c r="R365" s="1270"/>
      <c r="S365" s="1270"/>
      <c r="T365" s="1270"/>
      <c r="V365" s="630">
        <f t="shared" si="111"/>
      </c>
      <c r="X365" s="686"/>
      <c r="Y365" s="686"/>
      <c r="Z365" s="695"/>
    </row>
    <row r="366" spans="1:26" s="478" customFormat="1" ht="30" customHeight="1">
      <c r="A366" s="604">
        <v>9</v>
      </c>
      <c r="B366" s="605">
        <v>1</v>
      </c>
      <c r="C366" s="605">
        <v>2</v>
      </c>
      <c r="D366" s="1128">
        <v>2073</v>
      </c>
      <c r="E366" s="644">
        <v>202</v>
      </c>
      <c r="F366" s="606"/>
      <c r="G366" s="607" t="s">
        <v>613</v>
      </c>
      <c r="H366" s="608"/>
      <c r="I366" s="608"/>
      <c r="J366" s="608"/>
      <c r="K366" s="608"/>
      <c r="L366" s="609"/>
      <c r="M366" s="609"/>
      <c r="N366" s="609"/>
      <c r="O366" s="611"/>
      <c r="P366" s="611"/>
      <c r="Q366" s="611"/>
      <c r="R366" s="610"/>
      <c r="S366" s="611"/>
      <c r="T366" s="669">
        <f>H366+N366</f>
        <v>0</v>
      </c>
      <c r="V366" s="630">
        <f t="shared" si="111"/>
      </c>
      <c r="X366" s="617"/>
      <c r="Y366" s="617"/>
      <c r="Z366" s="617"/>
    </row>
    <row r="367" spans="1:26" s="478" customFormat="1" ht="30" customHeight="1">
      <c r="A367" s="414">
        <v>9</v>
      </c>
      <c r="B367" s="438">
        <v>1</v>
      </c>
      <c r="C367" s="438">
        <v>2</v>
      </c>
      <c r="D367" s="1128">
        <v>2103</v>
      </c>
      <c r="E367" s="438">
        <v>204</v>
      </c>
      <c r="F367" s="439" t="s">
        <v>900</v>
      </c>
      <c r="G367" s="520" t="s">
        <v>584</v>
      </c>
      <c r="H367" s="442"/>
      <c r="I367" s="442"/>
      <c r="J367" s="442"/>
      <c r="K367" s="442"/>
      <c r="L367" s="588"/>
      <c r="M367" s="588"/>
      <c r="N367" s="588"/>
      <c r="O367" s="519"/>
      <c r="P367" s="519"/>
      <c r="Q367" s="510"/>
      <c r="R367" s="521"/>
      <c r="S367" s="522"/>
      <c r="T367" s="675">
        <f>H367+N367</f>
        <v>0</v>
      </c>
      <c r="V367" s="630">
        <f t="shared" si="111"/>
      </c>
      <c r="X367" s="617"/>
      <c r="Y367" s="617"/>
      <c r="Z367" s="617"/>
    </row>
    <row r="368" spans="1:26" s="478" customFormat="1" ht="25.5" customHeight="1">
      <c r="A368" s="1271" t="s">
        <v>55</v>
      </c>
      <c r="B368" s="1272"/>
      <c r="C368" s="1272"/>
      <c r="D368" s="1272"/>
      <c r="E368" s="1272"/>
      <c r="F368" s="1272"/>
      <c r="G368" s="1273"/>
      <c r="H368" s="580">
        <f>SUM(H366+H367)</f>
        <v>0</v>
      </c>
      <c r="I368" s="580">
        <f>SUM(I366+I367)</f>
        <v>0</v>
      </c>
      <c r="J368" s="580">
        <f>SUM(J366+J367)</f>
        <v>0</v>
      </c>
      <c r="K368" s="580">
        <f>SUM(K366+K367)</f>
        <v>0</v>
      </c>
      <c r="L368" s="580">
        <f>SUM(L366+L367)</f>
        <v>0</v>
      </c>
      <c r="M368" s="580">
        <f aca="true" t="shared" si="121" ref="M368:T368">SUM(M366+M367)</f>
        <v>0</v>
      </c>
      <c r="N368" s="580">
        <f t="shared" si="121"/>
        <v>0</v>
      </c>
      <c r="O368" s="580">
        <f t="shared" si="121"/>
        <v>0</v>
      </c>
      <c r="P368" s="580">
        <f t="shared" si="121"/>
        <v>0</v>
      </c>
      <c r="Q368" s="580">
        <f t="shared" si="121"/>
        <v>0</v>
      </c>
      <c r="R368" s="580">
        <f t="shared" si="121"/>
        <v>0</v>
      </c>
      <c r="S368" s="580">
        <f t="shared" si="121"/>
        <v>0</v>
      </c>
      <c r="T368" s="613">
        <f t="shared" si="121"/>
        <v>0</v>
      </c>
      <c r="V368" s="630">
        <f t="shared" si="111"/>
      </c>
      <c r="X368" s="617"/>
      <c r="Y368" s="617"/>
      <c r="Z368" s="617"/>
    </row>
    <row r="369" spans="1:26" s="478" customFormat="1" ht="27.75" customHeight="1">
      <c r="A369" s="381">
        <v>9</v>
      </c>
      <c r="B369" s="484">
        <v>2</v>
      </c>
      <c r="C369" s="484">
        <v>2</v>
      </c>
      <c r="D369" s="310"/>
      <c r="E369" s="483"/>
      <c r="F369" s="452"/>
      <c r="G369" s="531"/>
      <c r="H369" s="487"/>
      <c r="I369" s="487"/>
      <c r="J369" s="487"/>
      <c r="K369" s="487"/>
      <c r="L369" s="579"/>
      <c r="M369" s="579"/>
      <c r="N369" s="579"/>
      <c r="O369" s="488"/>
      <c r="P369" s="488"/>
      <c r="Q369" s="489"/>
      <c r="R369" s="486"/>
      <c r="S369" s="491"/>
      <c r="T369" s="625"/>
      <c r="V369" s="630">
        <f t="shared" si="111"/>
      </c>
      <c r="X369" s="617"/>
      <c r="Y369" s="617"/>
      <c r="Z369" s="617"/>
    </row>
    <row r="370" spans="1:26" s="478" customFormat="1" ht="27.75" customHeight="1">
      <c r="A370" s="406"/>
      <c r="B370" s="503"/>
      <c r="C370" s="503"/>
      <c r="D370" s="508"/>
      <c r="E370" s="501"/>
      <c r="F370" s="502"/>
      <c r="G370" s="516"/>
      <c r="H370" s="504"/>
      <c r="I370" s="504"/>
      <c r="J370" s="504"/>
      <c r="K370" s="504"/>
      <c r="L370" s="577"/>
      <c r="M370" s="577"/>
      <c r="N370" s="577"/>
      <c r="O370" s="506"/>
      <c r="P370" s="506"/>
      <c r="Q370" s="511"/>
      <c r="R370" s="505"/>
      <c r="S370" s="507"/>
      <c r="T370" s="641"/>
      <c r="V370" s="630">
        <f t="shared" si="111"/>
      </c>
      <c r="X370" s="617"/>
      <c r="Y370" s="617"/>
      <c r="Z370" s="617"/>
    </row>
    <row r="371" spans="1:26" s="478" customFormat="1" ht="27" customHeight="1">
      <c r="A371" s="1271" t="s">
        <v>56</v>
      </c>
      <c r="B371" s="1272"/>
      <c r="C371" s="1272"/>
      <c r="D371" s="1272"/>
      <c r="E371" s="1272"/>
      <c r="F371" s="1272"/>
      <c r="G371" s="1273"/>
      <c r="H371" s="512">
        <f aca="true" t="shared" si="122" ref="H371:Q371">SUM(H369:H370)</f>
        <v>0</v>
      </c>
      <c r="I371" s="512">
        <f t="shared" si="122"/>
        <v>0</v>
      </c>
      <c r="J371" s="512">
        <f t="shared" si="122"/>
        <v>0</v>
      </c>
      <c r="K371" s="512">
        <f t="shared" si="122"/>
        <v>0</v>
      </c>
      <c r="L371" s="580">
        <f t="shared" si="122"/>
        <v>0</v>
      </c>
      <c r="M371" s="580">
        <f t="shared" si="122"/>
        <v>0</v>
      </c>
      <c r="N371" s="580">
        <f t="shared" si="122"/>
        <v>0</v>
      </c>
      <c r="O371" s="512">
        <f t="shared" si="122"/>
        <v>0</v>
      </c>
      <c r="P371" s="512">
        <f t="shared" si="122"/>
        <v>0</v>
      </c>
      <c r="Q371" s="517">
        <f t="shared" si="122"/>
        <v>0</v>
      </c>
      <c r="R371" s="517">
        <f>SUM(R369:R370)</f>
        <v>0</v>
      </c>
      <c r="S371" s="517">
        <f>SUM(S369:S370)</f>
        <v>0</v>
      </c>
      <c r="T371" s="613">
        <f>SUM(T369:T370)</f>
        <v>0</v>
      </c>
      <c r="V371" s="630">
        <f t="shared" si="111"/>
      </c>
      <c r="X371" s="617"/>
      <c r="Y371" s="617"/>
      <c r="Z371" s="617"/>
    </row>
    <row r="372" spans="1:26" s="478" customFormat="1" ht="27.75" customHeight="1">
      <c r="A372" s="386">
        <v>9</v>
      </c>
      <c r="B372" s="499">
        <v>3</v>
      </c>
      <c r="C372" s="499">
        <v>2</v>
      </c>
      <c r="D372" s="1128" t="s">
        <v>176</v>
      </c>
      <c r="E372" s="499">
        <v>202</v>
      </c>
      <c r="F372" s="453" t="s">
        <v>153</v>
      </c>
      <c r="G372" s="500" t="s">
        <v>127</v>
      </c>
      <c r="H372" s="496"/>
      <c r="I372" s="496"/>
      <c r="J372" s="496"/>
      <c r="K372" s="496"/>
      <c r="L372" s="576"/>
      <c r="M372" s="576"/>
      <c r="N372" s="576"/>
      <c r="O372" s="497"/>
      <c r="P372" s="497"/>
      <c r="Q372" s="497"/>
      <c r="R372" s="495"/>
      <c r="S372" s="498"/>
      <c r="T372" s="622">
        <f>H372+N372</f>
        <v>0</v>
      </c>
      <c r="V372" s="630">
        <f t="shared" si="111"/>
      </c>
      <c r="X372" s="617"/>
      <c r="Y372" s="617"/>
      <c r="Z372" s="617"/>
    </row>
    <row r="373" spans="1:26" s="478" customFormat="1" ht="27" customHeight="1">
      <c r="A373" s="1271" t="s">
        <v>57</v>
      </c>
      <c r="B373" s="1272"/>
      <c r="C373" s="1272"/>
      <c r="D373" s="1272"/>
      <c r="E373" s="1272"/>
      <c r="F373" s="1272"/>
      <c r="G373" s="1273"/>
      <c r="H373" s="512">
        <f aca="true" t="shared" si="123" ref="H373:T373">SUM(H372:H372)</f>
        <v>0</v>
      </c>
      <c r="I373" s="512">
        <f t="shared" si="123"/>
        <v>0</v>
      </c>
      <c r="J373" s="512">
        <f t="shared" si="123"/>
        <v>0</v>
      </c>
      <c r="K373" s="512">
        <f t="shared" si="123"/>
        <v>0</v>
      </c>
      <c r="L373" s="580">
        <f t="shared" si="123"/>
        <v>0</v>
      </c>
      <c r="M373" s="580">
        <f t="shared" si="123"/>
        <v>0</v>
      </c>
      <c r="N373" s="580">
        <f t="shared" si="123"/>
        <v>0</v>
      </c>
      <c r="O373" s="512">
        <f t="shared" si="123"/>
        <v>0</v>
      </c>
      <c r="P373" s="512">
        <f t="shared" si="123"/>
        <v>0</v>
      </c>
      <c r="Q373" s="517">
        <f t="shared" si="123"/>
        <v>0</v>
      </c>
      <c r="R373" s="517">
        <f t="shared" si="123"/>
        <v>0</v>
      </c>
      <c r="S373" s="517">
        <f t="shared" si="123"/>
        <v>0</v>
      </c>
      <c r="T373" s="613">
        <f t="shared" si="123"/>
        <v>0</v>
      </c>
      <c r="V373" s="630">
        <f t="shared" si="111"/>
      </c>
      <c r="X373" s="617"/>
      <c r="Y373" s="617"/>
      <c r="Z373" s="617"/>
    </row>
    <row r="374" spans="1:26" s="478" customFormat="1" ht="27.75" customHeight="1">
      <c r="A374" s="414">
        <v>9</v>
      </c>
      <c r="B374" s="438">
        <v>6</v>
      </c>
      <c r="C374" s="438">
        <v>2</v>
      </c>
      <c r="D374" s="534"/>
      <c r="E374" s="534"/>
      <c r="F374" s="439"/>
      <c r="G374" s="520"/>
      <c r="H374" s="442">
        <v>0</v>
      </c>
      <c r="I374" s="442"/>
      <c r="J374" s="442"/>
      <c r="K374" s="442"/>
      <c r="L374" s="588"/>
      <c r="M374" s="588"/>
      <c r="N374" s="588"/>
      <c r="O374" s="519"/>
      <c r="P374" s="519"/>
      <c r="Q374" s="528"/>
      <c r="R374" s="521"/>
      <c r="S374" s="522"/>
      <c r="T374" s="675"/>
      <c r="V374" s="630">
        <f t="shared" si="111"/>
      </c>
      <c r="X374" s="617"/>
      <c r="Y374" s="617"/>
      <c r="Z374" s="617"/>
    </row>
    <row r="375" spans="1:22" ht="27" customHeight="1" thickBot="1">
      <c r="A375" s="1271" t="s">
        <v>355</v>
      </c>
      <c r="B375" s="1272"/>
      <c r="C375" s="1272"/>
      <c r="D375" s="1272"/>
      <c r="E375" s="1272"/>
      <c r="F375" s="1272"/>
      <c r="G375" s="1273"/>
      <c r="H375" s="512">
        <f aca="true" t="shared" si="124" ref="H375:Q375">SUM(H374)</f>
        <v>0</v>
      </c>
      <c r="I375" s="512">
        <f t="shared" si="124"/>
        <v>0</v>
      </c>
      <c r="J375" s="512">
        <f t="shared" si="124"/>
        <v>0</v>
      </c>
      <c r="K375" s="512">
        <f t="shared" si="124"/>
        <v>0</v>
      </c>
      <c r="L375" s="578">
        <f t="shared" si="124"/>
        <v>0</v>
      </c>
      <c r="M375" s="578">
        <f t="shared" si="124"/>
        <v>0</v>
      </c>
      <c r="N375" s="578">
        <f t="shared" si="124"/>
        <v>0</v>
      </c>
      <c r="O375" s="513">
        <f t="shared" si="124"/>
        <v>0</v>
      </c>
      <c r="P375" s="513">
        <f t="shared" si="124"/>
        <v>0</v>
      </c>
      <c r="Q375" s="514">
        <f t="shared" si="124"/>
        <v>0</v>
      </c>
      <c r="R375" s="514">
        <f>SUM(R374)</f>
        <v>0</v>
      </c>
      <c r="S375" s="514">
        <f>SUM(S374)</f>
        <v>0</v>
      </c>
      <c r="T375" s="673">
        <f>SUM(T374)</f>
        <v>0</v>
      </c>
      <c r="V375" s="630">
        <f t="shared" si="111"/>
      </c>
    </row>
    <row r="376" spans="1:26" s="686" customFormat="1" ht="21" customHeight="1" thickBot="1">
      <c r="A376" s="1262" t="s">
        <v>60</v>
      </c>
      <c r="B376" s="1263"/>
      <c r="C376" s="1263"/>
      <c r="D376" s="1263"/>
      <c r="E376" s="1263"/>
      <c r="F376" s="1263"/>
      <c r="G376" s="1264"/>
      <c r="H376" s="586">
        <f>H368+H371+H373+H375</f>
        <v>0</v>
      </c>
      <c r="I376" s="586">
        <f aca="true" t="shared" si="125" ref="I376:O376">I368+I371+I373+I375</f>
        <v>0</v>
      </c>
      <c r="J376" s="586">
        <f t="shared" si="125"/>
        <v>0</v>
      </c>
      <c r="K376" s="586">
        <f t="shared" si="125"/>
        <v>0</v>
      </c>
      <c r="L376" s="586">
        <f t="shared" si="125"/>
        <v>0</v>
      </c>
      <c r="M376" s="586">
        <f t="shared" si="125"/>
        <v>0</v>
      </c>
      <c r="N376" s="586">
        <f t="shared" si="125"/>
        <v>0</v>
      </c>
      <c r="O376" s="586">
        <f t="shared" si="125"/>
        <v>0</v>
      </c>
      <c r="P376" s="586">
        <f>P368+P371+P373+P375</f>
        <v>0</v>
      </c>
      <c r="Q376" s="586">
        <f>Q368+Q371+Q373+Q375</f>
        <v>0</v>
      </c>
      <c r="R376" s="586">
        <f>R368+R371+R373+R375</f>
        <v>0</v>
      </c>
      <c r="S376" s="586">
        <f>S368+S371+S373+S375</f>
        <v>0</v>
      </c>
      <c r="T376" s="586">
        <f>T368+T371+T373+T375</f>
        <v>0</v>
      </c>
      <c r="V376" s="630">
        <f t="shared" si="111"/>
      </c>
      <c r="X376" s="687"/>
      <c r="Z376" s="687"/>
    </row>
    <row r="377" spans="1:26" s="482" customFormat="1" ht="21" customHeight="1" thickBot="1">
      <c r="A377" s="1259" t="s">
        <v>62</v>
      </c>
      <c r="B377" s="1260"/>
      <c r="C377" s="1260"/>
      <c r="D377" s="1260"/>
      <c r="E377" s="1260"/>
      <c r="F377" s="1260"/>
      <c r="G377" s="1261"/>
      <c r="H377" s="1269"/>
      <c r="I377" s="1270"/>
      <c r="J377" s="1270"/>
      <c r="K377" s="1270"/>
      <c r="L377" s="1270"/>
      <c r="M377" s="1270"/>
      <c r="N377" s="1270"/>
      <c r="O377" s="1270"/>
      <c r="P377" s="1270"/>
      <c r="Q377" s="1270"/>
      <c r="R377" s="1270"/>
      <c r="S377" s="1270"/>
      <c r="T377" s="1270"/>
      <c r="V377" s="630">
        <f t="shared" si="111"/>
      </c>
      <c r="X377" s="686"/>
      <c r="Y377" s="686"/>
      <c r="Z377" s="695"/>
    </row>
    <row r="378" spans="1:26" s="478" customFormat="1" ht="27.75" customHeight="1">
      <c r="A378" s="386">
        <v>10</v>
      </c>
      <c r="B378" s="499">
        <v>5</v>
      </c>
      <c r="C378" s="499">
        <v>2</v>
      </c>
      <c r="D378" s="1128">
        <v>1535</v>
      </c>
      <c r="E378" s="453">
        <v>202</v>
      </c>
      <c r="F378" s="453" t="s">
        <v>901</v>
      </c>
      <c r="G378" s="500" t="s">
        <v>585</v>
      </c>
      <c r="H378" s="496">
        <v>1768.96</v>
      </c>
      <c r="I378" s="496"/>
      <c r="J378" s="496"/>
      <c r="K378" s="496"/>
      <c r="L378" s="576"/>
      <c r="M378" s="576"/>
      <c r="N378" s="576"/>
      <c r="O378" s="618"/>
      <c r="P378" s="618"/>
      <c r="Q378" s="618"/>
      <c r="R378" s="576"/>
      <c r="S378" s="498"/>
      <c r="T378" s="1493">
        <f aca="true" t="shared" si="126" ref="T378:T408">H378+N378</f>
        <v>1768.96</v>
      </c>
      <c r="V378" s="630">
        <f t="shared" si="111"/>
      </c>
      <c r="X378" s="617"/>
      <c r="Y378" s="617"/>
      <c r="Z378" s="617"/>
    </row>
    <row r="379" spans="1:26" s="478" customFormat="1" ht="27.75" customHeight="1">
      <c r="A379" s="386">
        <v>10</v>
      </c>
      <c r="B379" s="499">
        <v>5</v>
      </c>
      <c r="C379" s="499">
        <v>2</v>
      </c>
      <c r="D379" s="1128">
        <v>2069</v>
      </c>
      <c r="E379" s="453">
        <v>202</v>
      </c>
      <c r="F379" s="453" t="s">
        <v>153</v>
      </c>
      <c r="G379" s="500" t="s">
        <v>679</v>
      </c>
      <c r="H379" s="496">
        <v>7497.45</v>
      </c>
      <c r="I379" s="496"/>
      <c r="J379" s="496"/>
      <c r="K379" s="496"/>
      <c r="L379" s="576"/>
      <c r="M379" s="576"/>
      <c r="N379" s="576"/>
      <c r="O379" s="618"/>
      <c r="P379" s="618"/>
      <c r="Q379" s="618"/>
      <c r="R379" s="576"/>
      <c r="S379" s="498"/>
      <c r="T379" s="1493">
        <f t="shared" si="126"/>
        <v>7497.45</v>
      </c>
      <c r="V379" s="630">
        <f t="shared" si="111"/>
      </c>
      <c r="X379" s="617"/>
      <c r="Y379" s="617"/>
      <c r="Z379" s="617"/>
    </row>
    <row r="380" spans="1:26" s="478" customFormat="1" ht="27.75" customHeight="1">
      <c r="A380" s="386">
        <v>10</v>
      </c>
      <c r="B380" s="499">
        <v>5</v>
      </c>
      <c r="C380" s="499">
        <v>2</v>
      </c>
      <c r="D380" s="1128" t="s">
        <v>275</v>
      </c>
      <c r="E380" s="453">
        <v>202</v>
      </c>
      <c r="F380" s="453" t="s">
        <v>893</v>
      </c>
      <c r="G380" s="500" t="s">
        <v>680</v>
      </c>
      <c r="H380" s="496"/>
      <c r="I380" s="496"/>
      <c r="J380" s="496"/>
      <c r="K380" s="496"/>
      <c r="L380" s="576"/>
      <c r="M380" s="576"/>
      <c r="N380" s="576"/>
      <c r="O380" s="618"/>
      <c r="P380" s="618"/>
      <c r="Q380" s="618"/>
      <c r="R380" s="576"/>
      <c r="S380" s="498"/>
      <c r="T380" s="622">
        <f t="shared" si="126"/>
        <v>0</v>
      </c>
      <c r="V380" s="630">
        <f t="shared" si="111"/>
      </c>
      <c r="X380" s="617"/>
      <c r="Y380" s="617"/>
      <c r="Z380" s="617"/>
    </row>
    <row r="381" spans="1:26" s="478" customFormat="1" ht="27.75" customHeight="1">
      <c r="A381" s="386">
        <v>10</v>
      </c>
      <c r="B381" s="499">
        <v>5</v>
      </c>
      <c r="C381" s="499">
        <v>2</v>
      </c>
      <c r="D381" s="1128" t="s">
        <v>184</v>
      </c>
      <c r="E381" s="453">
        <v>202</v>
      </c>
      <c r="F381" s="453" t="s">
        <v>153</v>
      </c>
      <c r="G381" s="500" t="s">
        <v>612</v>
      </c>
      <c r="H381" s="496">
        <v>96898.66</v>
      </c>
      <c r="I381" s="496"/>
      <c r="J381" s="496">
        <v>175331.16</v>
      </c>
      <c r="K381" s="496"/>
      <c r="L381" s="1187">
        <v>0</v>
      </c>
      <c r="M381" s="1162">
        <v>175331.16</v>
      </c>
      <c r="N381" s="576"/>
      <c r="O381" s="618"/>
      <c r="P381" s="618"/>
      <c r="Q381" s="618"/>
      <c r="R381" s="576"/>
      <c r="S381" s="498"/>
      <c r="T381" s="1493">
        <f t="shared" si="126"/>
        <v>96898.66</v>
      </c>
      <c r="V381" s="630">
        <f t="shared" si="111"/>
      </c>
      <c r="X381" s="617"/>
      <c r="Y381" s="617"/>
      <c r="Z381" s="617"/>
    </row>
    <row r="382" spans="1:26" s="478" customFormat="1" ht="27.75" customHeight="1">
      <c r="A382" s="386">
        <v>10</v>
      </c>
      <c r="B382" s="499">
        <v>5</v>
      </c>
      <c r="C382" s="499">
        <v>2</v>
      </c>
      <c r="D382" s="1128" t="s">
        <v>681</v>
      </c>
      <c r="E382" s="453">
        <v>202</v>
      </c>
      <c r="F382" s="453" t="s">
        <v>153</v>
      </c>
      <c r="G382" s="500" t="s">
        <v>682</v>
      </c>
      <c r="H382" s="496">
        <v>3452.38</v>
      </c>
      <c r="I382" s="496"/>
      <c r="J382" s="496"/>
      <c r="K382" s="496"/>
      <c r="L382" s="576"/>
      <c r="M382" s="576"/>
      <c r="N382" s="576"/>
      <c r="O382" s="618"/>
      <c r="P382" s="618"/>
      <c r="Q382" s="618"/>
      <c r="R382" s="576"/>
      <c r="S382" s="498"/>
      <c r="T382" s="1493">
        <f t="shared" si="126"/>
        <v>3452.38</v>
      </c>
      <c r="V382" s="630">
        <f t="shared" si="111"/>
      </c>
      <c r="X382" s="617"/>
      <c r="Y382" s="617"/>
      <c r="Z382" s="617"/>
    </row>
    <row r="383" spans="1:26" s="478" customFormat="1" ht="45" customHeight="1">
      <c r="A383" s="386">
        <v>10</v>
      </c>
      <c r="B383" s="499">
        <v>5</v>
      </c>
      <c r="C383" s="499">
        <v>2</v>
      </c>
      <c r="D383" s="1128" t="s">
        <v>1078</v>
      </c>
      <c r="E383" s="453">
        <v>203</v>
      </c>
      <c r="F383" s="453" t="s">
        <v>153</v>
      </c>
      <c r="G383" s="500" t="s">
        <v>1179</v>
      </c>
      <c r="H383" s="496"/>
      <c r="I383" s="496"/>
      <c r="J383" s="496"/>
      <c r="K383" s="496"/>
      <c r="L383" s="576"/>
      <c r="M383" s="576"/>
      <c r="N383" s="576"/>
      <c r="O383" s="618"/>
      <c r="P383" s="618"/>
      <c r="Q383" s="618"/>
      <c r="R383" s="1466">
        <v>350000</v>
      </c>
      <c r="S383" s="498"/>
      <c r="T383" s="622">
        <f t="shared" si="126"/>
        <v>0</v>
      </c>
      <c r="V383" s="630">
        <f t="shared" si="111"/>
      </c>
      <c r="X383" s="617"/>
      <c r="Y383" s="617"/>
      <c r="Z383" s="617"/>
    </row>
    <row r="384" spans="1:26" s="478" customFormat="1" ht="27.75" customHeight="1">
      <c r="A384" s="386">
        <v>10</v>
      </c>
      <c r="B384" s="499">
        <v>5</v>
      </c>
      <c r="C384" s="499">
        <v>2</v>
      </c>
      <c r="D384" s="1128" t="s">
        <v>276</v>
      </c>
      <c r="E384" s="453">
        <v>202</v>
      </c>
      <c r="F384" s="453" t="s">
        <v>153</v>
      </c>
      <c r="G384" s="500" t="s">
        <v>156</v>
      </c>
      <c r="H384" s="496">
        <v>29959.78</v>
      </c>
      <c r="I384" s="496"/>
      <c r="J384" s="496">
        <v>10774.21</v>
      </c>
      <c r="K384" s="496"/>
      <c r="L384" s="1187">
        <v>0</v>
      </c>
      <c r="M384" s="1162">
        <v>10774.21</v>
      </c>
      <c r="N384" s="576"/>
      <c r="O384" s="618"/>
      <c r="P384" s="618"/>
      <c r="Q384" s="618"/>
      <c r="R384" s="576"/>
      <c r="S384" s="498"/>
      <c r="T384" s="1493">
        <f t="shared" si="126"/>
        <v>29959.78</v>
      </c>
      <c r="V384" s="630">
        <f t="shared" si="111"/>
      </c>
      <c r="X384" s="617"/>
      <c r="Y384" s="617"/>
      <c r="Z384" s="617"/>
    </row>
    <row r="385" spans="1:26" s="478" customFormat="1" ht="27.75" customHeight="1">
      <c r="A385" s="386">
        <v>10</v>
      </c>
      <c r="B385" s="499">
        <v>5</v>
      </c>
      <c r="C385" s="499">
        <v>2</v>
      </c>
      <c r="D385" s="1128" t="s">
        <v>183</v>
      </c>
      <c r="E385" s="453">
        <v>202</v>
      </c>
      <c r="F385" s="453" t="s">
        <v>153</v>
      </c>
      <c r="G385" s="500" t="s">
        <v>683</v>
      </c>
      <c r="H385" s="496"/>
      <c r="I385" s="496"/>
      <c r="J385" s="496"/>
      <c r="K385" s="496"/>
      <c r="L385" s="576"/>
      <c r="M385" s="576"/>
      <c r="N385" s="576"/>
      <c r="O385" s="618"/>
      <c r="P385" s="618"/>
      <c r="Q385" s="618"/>
      <c r="R385" s="576"/>
      <c r="S385" s="498"/>
      <c r="T385" s="622">
        <f t="shared" si="126"/>
        <v>0</v>
      </c>
      <c r="V385" s="630">
        <f t="shared" si="111"/>
      </c>
      <c r="X385" s="617"/>
      <c r="Y385" s="617"/>
      <c r="Z385" s="617"/>
    </row>
    <row r="386" spans="1:26" s="478" customFormat="1" ht="27.75" customHeight="1">
      <c r="A386" s="386">
        <v>10</v>
      </c>
      <c r="B386" s="499">
        <v>5</v>
      </c>
      <c r="C386" s="499">
        <v>2</v>
      </c>
      <c r="D386" s="1102" t="s">
        <v>622</v>
      </c>
      <c r="E386" s="453">
        <v>202</v>
      </c>
      <c r="F386" s="453" t="s">
        <v>285</v>
      </c>
      <c r="G386" s="500" t="s">
        <v>1065</v>
      </c>
      <c r="H386" s="496">
        <v>55880.13</v>
      </c>
      <c r="I386" s="496"/>
      <c r="J386" s="496">
        <v>153661.79</v>
      </c>
      <c r="K386" s="496"/>
      <c r="L386" s="1187">
        <v>160000</v>
      </c>
      <c r="M386" s="1162">
        <v>3661.79</v>
      </c>
      <c r="N386" s="1465">
        <f>10000+50000</f>
        <v>60000</v>
      </c>
      <c r="O386" s="618"/>
      <c r="P386" s="1466">
        <f>10000+50000</f>
        <v>60000</v>
      </c>
      <c r="Q386" s="618"/>
      <c r="R386" s="1466">
        <f>10000+50000</f>
        <v>60000</v>
      </c>
      <c r="S386" s="498"/>
      <c r="T386" s="1493">
        <f t="shared" si="126"/>
        <v>115880.13</v>
      </c>
      <c r="V386" s="630">
        <f t="shared" si="111"/>
      </c>
      <c r="X386" s="617"/>
      <c r="Y386" s="617"/>
      <c r="Z386" s="617"/>
    </row>
    <row r="387" spans="1:26" s="478" customFormat="1" ht="27.75" customHeight="1">
      <c r="A387" s="386">
        <v>10</v>
      </c>
      <c r="B387" s="499">
        <v>5</v>
      </c>
      <c r="C387" s="499">
        <v>2</v>
      </c>
      <c r="D387" s="1102" t="s">
        <v>623</v>
      </c>
      <c r="E387" s="453">
        <v>202</v>
      </c>
      <c r="F387" s="453" t="s">
        <v>153</v>
      </c>
      <c r="G387" s="500" t="s">
        <v>624</v>
      </c>
      <c r="H387" s="496">
        <v>100000</v>
      </c>
      <c r="I387" s="496"/>
      <c r="J387" s="496">
        <v>100000</v>
      </c>
      <c r="K387" s="496"/>
      <c r="L387" s="1187">
        <v>100000</v>
      </c>
      <c r="M387" s="576"/>
      <c r="N387" s="576"/>
      <c r="O387" s="618"/>
      <c r="P387" s="618"/>
      <c r="Q387" s="618"/>
      <c r="R387" s="576"/>
      <c r="S387" s="498"/>
      <c r="T387" s="1493">
        <f t="shared" si="126"/>
        <v>100000</v>
      </c>
      <c r="V387" s="630">
        <f t="shared" si="111"/>
      </c>
      <c r="X387" s="617"/>
      <c r="Y387" s="617"/>
      <c r="Z387" s="617"/>
    </row>
    <row r="388" spans="1:26" s="478" customFormat="1" ht="27.75" customHeight="1">
      <c r="A388" s="386">
        <v>10</v>
      </c>
      <c r="B388" s="499">
        <v>5</v>
      </c>
      <c r="C388" s="499">
        <v>2</v>
      </c>
      <c r="D388" s="1102" t="s">
        <v>625</v>
      </c>
      <c r="E388" s="453">
        <v>202</v>
      </c>
      <c r="F388" s="453" t="s">
        <v>153</v>
      </c>
      <c r="G388" s="500" t="s">
        <v>827</v>
      </c>
      <c r="H388" s="496">
        <v>41992.12</v>
      </c>
      <c r="I388" s="496"/>
      <c r="J388" s="496">
        <v>55514.11</v>
      </c>
      <c r="K388" s="496"/>
      <c r="L388" s="1187">
        <v>18972.85</v>
      </c>
      <c r="M388" s="1162">
        <v>36541.26</v>
      </c>
      <c r="N388" s="576"/>
      <c r="O388" s="618"/>
      <c r="P388" s="618"/>
      <c r="Q388" s="618"/>
      <c r="R388" s="576"/>
      <c r="S388" s="498"/>
      <c r="T388" s="1493">
        <f t="shared" si="126"/>
        <v>41992.12</v>
      </c>
      <c r="V388" s="630">
        <f t="shared" si="111"/>
      </c>
      <c r="X388" s="617"/>
      <c r="Y388" s="617"/>
      <c r="Z388" s="617"/>
    </row>
    <row r="389" spans="1:26" s="478" customFormat="1" ht="27.75" customHeight="1">
      <c r="A389" s="386">
        <v>10</v>
      </c>
      <c r="B389" s="499">
        <v>5</v>
      </c>
      <c r="C389" s="499">
        <v>2</v>
      </c>
      <c r="D389" s="1102" t="s">
        <v>849</v>
      </c>
      <c r="E389" s="453">
        <v>202</v>
      </c>
      <c r="F389" s="453" t="s">
        <v>153</v>
      </c>
      <c r="G389" s="500" t="s">
        <v>1067</v>
      </c>
      <c r="H389" s="496"/>
      <c r="I389" s="496"/>
      <c r="J389" s="496"/>
      <c r="K389" s="496"/>
      <c r="L389" s="1187">
        <v>420000</v>
      </c>
      <c r="M389" s="576"/>
      <c r="N389" s="1466">
        <f>30000+190000+200000</f>
        <v>420000</v>
      </c>
      <c r="O389" s="618"/>
      <c r="P389" s="618"/>
      <c r="Q389" s="618"/>
      <c r="R389" s="576"/>
      <c r="S389" s="498"/>
      <c r="T389" s="1493">
        <f t="shared" si="126"/>
        <v>420000</v>
      </c>
      <c r="V389" s="630">
        <f t="shared" si="111"/>
      </c>
      <c r="X389" s="617"/>
      <c r="Y389" s="617"/>
      <c r="Z389" s="617"/>
    </row>
    <row r="390" spans="1:26" s="478" customFormat="1" ht="47.25" customHeight="1">
      <c r="A390" s="386">
        <v>10</v>
      </c>
      <c r="B390" s="499">
        <v>5</v>
      </c>
      <c r="C390" s="499">
        <v>2</v>
      </c>
      <c r="D390" s="1102" t="s">
        <v>850</v>
      </c>
      <c r="E390" s="453">
        <v>202</v>
      </c>
      <c r="F390" s="453" t="s">
        <v>153</v>
      </c>
      <c r="G390" s="500" t="s">
        <v>1167</v>
      </c>
      <c r="H390" s="496"/>
      <c r="I390" s="496"/>
      <c r="J390" s="496"/>
      <c r="K390" s="496"/>
      <c r="L390" s="1187">
        <v>410000</v>
      </c>
      <c r="M390" s="576"/>
      <c r="N390" s="1466">
        <f>290000+120000</f>
        <v>410000</v>
      </c>
      <c r="O390" s="618"/>
      <c r="P390" s="1464">
        <v>300000</v>
      </c>
      <c r="Q390" s="618"/>
      <c r="R390" s="576"/>
      <c r="S390" s="498"/>
      <c r="T390" s="1493">
        <f t="shared" si="126"/>
        <v>410000</v>
      </c>
      <c r="V390" s="630">
        <f t="shared" si="111"/>
      </c>
      <c r="X390" s="617"/>
      <c r="Y390" s="617"/>
      <c r="Z390" s="617"/>
    </row>
    <row r="391" spans="1:26" s="478" customFormat="1" ht="39" customHeight="1">
      <c r="A391" s="386">
        <v>10</v>
      </c>
      <c r="B391" s="499">
        <v>5</v>
      </c>
      <c r="C391" s="499">
        <v>2</v>
      </c>
      <c r="D391" s="1102" t="s">
        <v>890</v>
      </c>
      <c r="E391" s="453">
        <v>202</v>
      </c>
      <c r="F391" s="453" t="s">
        <v>893</v>
      </c>
      <c r="G391" s="500" t="s">
        <v>1074</v>
      </c>
      <c r="H391" s="496"/>
      <c r="I391" s="496"/>
      <c r="J391" s="496"/>
      <c r="K391" s="496"/>
      <c r="L391" s="1187">
        <v>15000</v>
      </c>
      <c r="M391" s="576"/>
      <c r="N391" s="576"/>
      <c r="O391" s="618"/>
      <c r="P391" s="1464">
        <v>20000</v>
      </c>
      <c r="Q391" s="618"/>
      <c r="R391" s="576"/>
      <c r="S391" s="498"/>
      <c r="T391" s="622">
        <f t="shared" si="126"/>
        <v>0</v>
      </c>
      <c r="V391" s="630">
        <f t="shared" si="111"/>
      </c>
      <c r="X391" s="617"/>
      <c r="Y391" s="617"/>
      <c r="Z391" s="617"/>
    </row>
    <row r="392" spans="1:26" s="478" customFormat="1" ht="27.75" customHeight="1">
      <c r="A392" s="386">
        <v>10</v>
      </c>
      <c r="B392" s="499">
        <v>5</v>
      </c>
      <c r="C392" s="499">
        <v>2</v>
      </c>
      <c r="D392" s="1102" t="s">
        <v>891</v>
      </c>
      <c r="E392" s="453">
        <v>202</v>
      </c>
      <c r="F392" s="453" t="s">
        <v>153</v>
      </c>
      <c r="G392" s="500" t="s">
        <v>854</v>
      </c>
      <c r="H392" s="496"/>
      <c r="I392" s="496"/>
      <c r="J392" s="496"/>
      <c r="K392" s="496"/>
      <c r="L392" s="576"/>
      <c r="M392" s="576"/>
      <c r="N392" s="576"/>
      <c r="O392" s="618"/>
      <c r="P392" s="618"/>
      <c r="Q392" s="618"/>
      <c r="R392" s="576"/>
      <c r="S392" s="498"/>
      <c r="T392" s="622">
        <f t="shared" si="126"/>
        <v>0</v>
      </c>
      <c r="V392" s="630">
        <f aca="true" t="shared" si="127" ref="V392:V455">IF(T392&gt;(H392+N392),"ERRORE","")</f>
      </c>
      <c r="X392" s="617"/>
      <c r="Y392" s="617"/>
      <c r="Z392" s="617"/>
    </row>
    <row r="393" spans="1:26" s="478" customFormat="1" ht="54.75" customHeight="1">
      <c r="A393" s="406">
        <v>10</v>
      </c>
      <c r="B393" s="499">
        <v>5</v>
      </c>
      <c r="C393" s="499">
        <v>2</v>
      </c>
      <c r="D393" s="1102" t="s">
        <v>907</v>
      </c>
      <c r="E393" s="453">
        <v>202</v>
      </c>
      <c r="F393" s="453" t="s">
        <v>153</v>
      </c>
      <c r="G393" s="516" t="s">
        <v>1180</v>
      </c>
      <c r="H393" s="504">
        <v>4517.18</v>
      </c>
      <c r="I393" s="504"/>
      <c r="J393" s="504">
        <v>110000</v>
      </c>
      <c r="K393" s="504"/>
      <c r="L393" s="1193">
        <v>0</v>
      </c>
      <c r="M393" s="1161">
        <v>110000</v>
      </c>
      <c r="N393" s="577"/>
      <c r="O393" s="619"/>
      <c r="P393" s="619"/>
      <c r="Q393" s="618"/>
      <c r="R393" s="577"/>
      <c r="S393" s="507"/>
      <c r="T393" s="1493">
        <f t="shared" si="126"/>
        <v>4517.18</v>
      </c>
      <c r="V393" s="630">
        <f t="shared" si="127"/>
      </c>
      <c r="X393" s="617"/>
      <c r="Y393" s="617"/>
      <c r="Z393" s="617"/>
    </row>
    <row r="394" spans="1:26" s="478" customFormat="1" ht="30" customHeight="1">
      <c r="A394" s="406">
        <v>10</v>
      </c>
      <c r="B394" s="499">
        <v>5</v>
      </c>
      <c r="C394" s="499">
        <v>2</v>
      </c>
      <c r="D394" s="1102" t="s">
        <v>1042</v>
      </c>
      <c r="E394" s="453">
        <v>202</v>
      </c>
      <c r="F394" s="453" t="s">
        <v>153</v>
      </c>
      <c r="G394" s="516" t="s">
        <v>1068</v>
      </c>
      <c r="H394" s="504">
        <v>10000</v>
      </c>
      <c r="I394" s="504"/>
      <c r="J394" s="504">
        <v>10000</v>
      </c>
      <c r="K394" s="504"/>
      <c r="L394" s="1193">
        <v>10000</v>
      </c>
      <c r="M394" s="577"/>
      <c r="N394" s="1463">
        <f>5000+5000</f>
        <v>10000</v>
      </c>
      <c r="O394" s="619"/>
      <c r="P394" s="619"/>
      <c r="Q394" s="618"/>
      <c r="R394" s="577"/>
      <c r="S394" s="507"/>
      <c r="T394" s="1493">
        <f t="shared" si="126"/>
        <v>20000</v>
      </c>
      <c r="V394" s="630">
        <f t="shared" si="127"/>
      </c>
      <c r="X394" s="617"/>
      <c r="Y394" s="617"/>
      <c r="Z394" s="617"/>
    </row>
    <row r="395" spans="1:26" s="478" customFormat="1" ht="27.75" customHeight="1">
      <c r="A395" s="406">
        <v>10</v>
      </c>
      <c r="B395" s="503">
        <v>5</v>
      </c>
      <c r="C395" s="503">
        <v>2</v>
      </c>
      <c r="D395" s="1103" t="s">
        <v>684</v>
      </c>
      <c r="E395" s="502">
        <v>202</v>
      </c>
      <c r="F395" s="453" t="s">
        <v>153</v>
      </c>
      <c r="G395" s="516" t="s">
        <v>685</v>
      </c>
      <c r="H395" s="504">
        <v>4213.61</v>
      </c>
      <c r="I395" s="504"/>
      <c r="J395" s="504"/>
      <c r="K395" s="504"/>
      <c r="L395" s="577"/>
      <c r="M395" s="577"/>
      <c r="N395" s="577"/>
      <c r="O395" s="619"/>
      <c r="P395" s="619"/>
      <c r="Q395" s="618"/>
      <c r="R395" s="577"/>
      <c r="S395" s="507"/>
      <c r="T395" s="1493">
        <f t="shared" si="126"/>
        <v>4213.61</v>
      </c>
      <c r="V395" s="630">
        <f t="shared" si="127"/>
      </c>
      <c r="X395" s="617"/>
      <c r="Y395" s="617"/>
      <c r="Z395" s="617"/>
    </row>
    <row r="396" spans="1:26" s="478" customFormat="1" ht="27.75" customHeight="1">
      <c r="A396" s="386">
        <v>10</v>
      </c>
      <c r="B396" s="499">
        <v>5</v>
      </c>
      <c r="C396" s="499">
        <v>2</v>
      </c>
      <c r="D396" s="1128">
        <v>2074</v>
      </c>
      <c r="E396" s="453">
        <v>202</v>
      </c>
      <c r="F396" s="453" t="s">
        <v>153</v>
      </c>
      <c r="G396" s="500" t="s">
        <v>1083</v>
      </c>
      <c r="H396" s="496">
        <v>15256.85</v>
      </c>
      <c r="I396" s="496"/>
      <c r="J396" s="496">
        <v>10000</v>
      </c>
      <c r="K396" s="496"/>
      <c r="L396" s="1187">
        <v>0</v>
      </c>
      <c r="M396" s="1162">
        <v>10000</v>
      </c>
      <c r="N396" s="576"/>
      <c r="O396" s="618"/>
      <c r="P396" s="618"/>
      <c r="Q396" s="618"/>
      <c r="R396" s="1464">
        <v>100000</v>
      </c>
      <c r="S396" s="498"/>
      <c r="T396" s="1493">
        <f t="shared" si="126"/>
        <v>15256.85</v>
      </c>
      <c r="V396" s="630">
        <f t="shared" si="127"/>
      </c>
      <c r="X396" s="617"/>
      <c r="Y396" s="617"/>
      <c r="Z396" s="617"/>
    </row>
    <row r="397" spans="1:26" s="478" customFormat="1" ht="36.75" customHeight="1">
      <c r="A397" s="406">
        <v>10</v>
      </c>
      <c r="B397" s="503">
        <v>5</v>
      </c>
      <c r="C397" s="503">
        <v>2</v>
      </c>
      <c r="D397" s="1103">
        <v>2075</v>
      </c>
      <c r="E397" s="502">
        <v>202</v>
      </c>
      <c r="F397" s="453" t="s">
        <v>894</v>
      </c>
      <c r="G397" s="516" t="s">
        <v>842</v>
      </c>
      <c r="H397" s="504">
        <v>24492.2</v>
      </c>
      <c r="I397" s="504"/>
      <c r="J397" s="504">
        <v>25605</v>
      </c>
      <c r="K397" s="504"/>
      <c r="L397" s="1193">
        <v>0</v>
      </c>
      <c r="M397" s="1161">
        <v>25605</v>
      </c>
      <c r="N397" s="577"/>
      <c r="O397" s="619"/>
      <c r="P397" s="619"/>
      <c r="Q397" s="618"/>
      <c r="R397" s="577"/>
      <c r="S397" s="507"/>
      <c r="T397" s="1493">
        <f t="shared" si="126"/>
        <v>24492.2</v>
      </c>
      <c r="V397" s="630">
        <f t="shared" si="127"/>
      </c>
      <c r="X397" s="617"/>
      <c r="Y397" s="617"/>
      <c r="Z397" s="617"/>
    </row>
    <row r="398" spans="1:26" s="478" customFormat="1" ht="31.5" customHeight="1">
      <c r="A398" s="406">
        <v>10</v>
      </c>
      <c r="B398" s="503">
        <v>5</v>
      </c>
      <c r="C398" s="503">
        <v>2</v>
      </c>
      <c r="D398" s="1129">
        <v>2077</v>
      </c>
      <c r="E398" s="502">
        <v>202</v>
      </c>
      <c r="F398" s="502" t="s">
        <v>285</v>
      </c>
      <c r="G398" s="516" t="s">
        <v>686</v>
      </c>
      <c r="H398" s="504">
        <v>7675</v>
      </c>
      <c r="I398" s="504"/>
      <c r="J398" s="504"/>
      <c r="K398" s="504"/>
      <c r="L398" s="577"/>
      <c r="M398" s="577"/>
      <c r="N398" s="577"/>
      <c r="O398" s="619"/>
      <c r="P398" s="619"/>
      <c r="Q398" s="618"/>
      <c r="R398" s="577"/>
      <c r="S398" s="507"/>
      <c r="T398" s="1493">
        <f t="shared" si="126"/>
        <v>7675</v>
      </c>
      <c r="V398" s="630">
        <f t="shared" si="127"/>
      </c>
      <c r="X398" s="617"/>
      <c r="Y398" s="617"/>
      <c r="Z398" s="617"/>
    </row>
    <row r="399" spans="1:26" s="478" customFormat="1" ht="31.5" customHeight="1">
      <c r="A399" s="406">
        <v>10</v>
      </c>
      <c r="B399" s="503">
        <v>5</v>
      </c>
      <c r="C399" s="503">
        <v>2</v>
      </c>
      <c r="D399" s="1129">
        <v>2079</v>
      </c>
      <c r="E399" s="502">
        <v>202</v>
      </c>
      <c r="F399" s="502" t="s">
        <v>285</v>
      </c>
      <c r="G399" s="516" t="s">
        <v>1043</v>
      </c>
      <c r="H399" s="504">
        <v>14991.58</v>
      </c>
      <c r="I399" s="504"/>
      <c r="J399" s="504">
        <v>14991.58</v>
      </c>
      <c r="K399" s="504"/>
      <c r="L399" s="1193">
        <v>15000</v>
      </c>
      <c r="M399" s="577"/>
      <c r="N399" s="577"/>
      <c r="O399" s="619"/>
      <c r="P399" s="619"/>
      <c r="Q399" s="618"/>
      <c r="R399" s="577"/>
      <c r="S399" s="507"/>
      <c r="T399" s="1506">
        <f t="shared" si="126"/>
        <v>14991.58</v>
      </c>
      <c r="V399" s="630">
        <f t="shared" si="127"/>
      </c>
      <c r="X399" s="617"/>
      <c r="Y399" s="617"/>
      <c r="Z399" s="617"/>
    </row>
    <row r="400" spans="1:26" s="478" customFormat="1" ht="32.25" customHeight="1">
      <c r="A400" s="406">
        <v>10</v>
      </c>
      <c r="B400" s="503">
        <v>5</v>
      </c>
      <c r="C400" s="503">
        <v>2</v>
      </c>
      <c r="D400" s="1129" t="s">
        <v>1054</v>
      </c>
      <c r="E400" s="502">
        <v>202</v>
      </c>
      <c r="F400" s="502" t="s">
        <v>285</v>
      </c>
      <c r="G400" s="516" t="s">
        <v>1055</v>
      </c>
      <c r="H400" s="504"/>
      <c r="I400" s="504"/>
      <c r="J400" s="504"/>
      <c r="K400" s="504"/>
      <c r="L400" s="577"/>
      <c r="M400" s="577"/>
      <c r="N400" s="1463">
        <v>210000</v>
      </c>
      <c r="O400" s="619"/>
      <c r="P400" s="619"/>
      <c r="Q400" s="618"/>
      <c r="R400" s="577"/>
      <c r="S400" s="507"/>
      <c r="T400" s="622">
        <f t="shared" si="126"/>
        <v>210000</v>
      </c>
      <c r="V400" s="630">
        <f t="shared" si="127"/>
      </c>
      <c r="X400" s="617"/>
      <c r="Y400" s="617"/>
      <c r="Z400" s="617"/>
    </row>
    <row r="401" spans="1:26" s="478" customFormat="1" ht="32.25" customHeight="1">
      <c r="A401" s="406">
        <v>10</v>
      </c>
      <c r="B401" s="503">
        <v>5</v>
      </c>
      <c r="C401" s="503">
        <v>2</v>
      </c>
      <c r="D401" s="1129">
        <v>2101</v>
      </c>
      <c r="E401" s="502">
        <v>202</v>
      </c>
      <c r="F401" s="453" t="s">
        <v>153</v>
      </c>
      <c r="G401" s="516" t="s">
        <v>284</v>
      </c>
      <c r="H401" s="504">
        <v>15316.03</v>
      </c>
      <c r="I401" s="504"/>
      <c r="J401" s="504"/>
      <c r="K401" s="504"/>
      <c r="L401" s="577"/>
      <c r="M401" s="577"/>
      <c r="N401" s="577"/>
      <c r="O401" s="619"/>
      <c r="P401" s="619"/>
      <c r="Q401" s="618"/>
      <c r="R401" s="577"/>
      <c r="S401" s="507"/>
      <c r="T401" s="622">
        <f t="shared" si="126"/>
        <v>15316.03</v>
      </c>
      <c r="V401" s="630">
        <f t="shared" si="127"/>
      </c>
      <c r="X401" s="617"/>
      <c r="Y401" s="617"/>
      <c r="Z401" s="617"/>
    </row>
    <row r="402" spans="1:22" s="617" customFormat="1" ht="32.25" customHeight="1">
      <c r="A402" s="626">
        <v>10</v>
      </c>
      <c r="B402" s="766">
        <v>5</v>
      </c>
      <c r="C402" s="766">
        <v>2</v>
      </c>
      <c r="D402" s="1103">
        <v>2105</v>
      </c>
      <c r="E402" s="628">
        <v>205</v>
      </c>
      <c r="F402" s="628" t="s">
        <v>895</v>
      </c>
      <c r="G402" s="629" t="s">
        <v>845</v>
      </c>
      <c r="H402" s="587"/>
      <c r="I402" s="587"/>
      <c r="J402" s="587"/>
      <c r="K402" s="587"/>
      <c r="L402" s="577"/>
      <c r="M402" s="577"/>
      <c r="N402" s="577"/>
      <c r="O402" s="619"/>
      <c r="P402" s="619"/>
      <c r="Q402" s="618"/>
      <c r="R402" s="577"/>
      <c r="S402" s="640"/>
      <c r="T402" s="622">
        <f t="shared" si="126"/>
        <v>0</v>
      </c>
      <c r="V402" s="630">
        <f t="shared" si="127"/>
      </c>
    </row>
    <row r="403" spans="1:22" s="617" customFormat="1" ht="32.25" customHeight="1">
      <c r="A403" s="626">
        <v>10</v>
      </c>
      <c r="B403" s="766">
        <v>5</v>
      </c>
      <c r="C403" s="766">
        <v>2</v>
      </c>
      <c r="D403" s="1103">
        <v>2106</v>
      </c>
      <c r="E403" s="628">
        <v>202</v>
      </c>
      <c r="F403" s="628" t="s">
        <v>896</v>
      </c>
      <c r="G403" s="629" t="s">
        <v>1044</v>
      </c>
      <c r="H403" s="587">
        <v>3186.02</v>
      </c>
      <c r="I403" s="587"/>
      <c r="J403" s="587">
        <v>60000</v>
      </c>
      <c r="K403" s="587"/>
      <c r="L403" s="1193">
        <v>0</v>
      </c>
      <c r="M403" s="1161">
        <v>60000</v>
      </c>
      <c r="N403" s="577"/>
      <c r="O403" s="619"/>
      <c r="P403" s="619"/>
      <c r="Q403" s="618"/>
      <c r="R403" s="577"/>
      <c r="S403" s="640"/>
      <c r="T403" s="622">
        <f t="shared" si="126"/>
        <v>3186.02</v>
      </c>
      <c r="V403" s="630">
        <f t="shared" si="127"/>
      </c>
    </row>
    <row r="404" spans="1:22" s="617" customFormat="1" ht="32.25" customHeight="1">
      <c r="A404" s="626">
        <v>10</v>
      </c>
      <c r="B404" s="766">
        <v>5</v>
      </c>
      <c r="C404" s="766">
        <v>2</v>
      </c>
      <c r="D404" s="1103">
        <v>2108</v>
      </c>
      <c r="E404" s="628">
        <v>202</v>
      </c>
      <c r="F404" s="628" t="s">
        <v>887</v>
      </c>
      <c r="G404" s="629" t="s">
        <v>1064</v>
      </c>
      <c r="H404" s="587"/>
      <c r="I404" s="587"/>
      <c r="J404" s="587"/>
      <c r="K404" s="587"/>
      <c r="L404" s="577"/>
      <c r="M404" s="577"/>
      <c r="N404" s="1463">
        <v>20000</v>
      </c>
      <c r="O404" s="619"/>
      <c r="P404" s="619"/>
      <c r="Q404" s="618"/>
      <c r="R404" s="577"/>
      <c r="S404" s="640"/>
      <c r="T404" s="622">
        <f t="shared" si="126"/>
        <v>20000</v>
      </c>
      <c r="V404" s="630">
        <f t="shared" si="127"/>
      </c>
    </row>
    <row r="405" spans="1:22" s="617" customFormat="1" ht="32.25" customHeight="1">
      <c r="A405" s="626">
        <v>10</v>
      </c>
      <c r="B405" s="766">
        <v>5</v>
      </c>
      <c r="C405" s="766">
        <v>2</v>
      </c>
      <c r="D405" s="1103">
        <v>2111</v>
      </c>
      <c r="E405" s="628">
        <v>202</v>
      </c>
      <c r="F405" s="453" t="s">
        <v>153</v>
      </c>
      <c r="G405" s="516" t="s">
        <v>1150</v>
      </c>
      <c r="H405" s="587"/>
      <c r="I405" s="587"/>
      <c r="J405" s="587"/>
      <c r="K405" s="587"/>
      <c r="L405" s="577"/>
      <c r="M405" s="577"/>
      <c r="N405" s="577"/>
      <c r="O405" s="619"/>
      <c r="P405" s="619"/>
      <c r="Q405" s="618"/>
      <c r="R405" s="1467">
        <v>100000</v>
      </c>
      <c r="S405" s="640"/>
      <c r="T405" s="622">
        <f t="shared" si="126"/>
        <v>0</v>
      </c>
      <c r="V405" s="630">
        <f t="shared" si="127"/>
      </c>
    </row>
    <row r="406" spans="1:22" s="617" customFormat="1" ht="50.25" customHeight="1">
      <c r="A406" s="626">
        <v>10</v>
      </c>
      <c r="B406" s="766">
        <v>5</v>
      </c>
      <c r="C406" s="766">
        <v>2</v>
      </c>
      <c r="D406" s="1103">
        <v>2112</v>
      </c>
      <c r="E406" s="628">
        <v>202</v>
      </c>
      <c r="F406" s="453" t="s">
        <v>153</v>
      </c>
      <c r="G406" s="629" t="s">
        <v>1168</v>
      </c>
      <c r="H406" s="587"/>
      <c r="I406" s="587"/>
      <c r="J406" s="587"/>
      <c r="K406" s="587"/>
      <c r="L406" s="577"/>
      <c r="M406" s="577"/>
      <c r="N406" s="577"/>
      <c r="O406" s="619"/>
      <c r="P406" s="619"/>
      <c r="Q406" s="618"/>
      <c r="R406" s="1467">
        <f>10000+190000</f>
        <v>200000</v>
      </c>
      <c r="S406" s="640"/>
      <c r="T406" s="622">
        <f t="shared" si="126"/>
        <v>0</v>
      </c>
      <c r="V406" s="630">
        <f t="shared" si="127"/>
      </c>
    </row>
    <row r="407" spans="1:22" s="617" customFormat="1" ht="32.25" customHeight="1">
      <c r="A407" s="626">
        <v>10</v>
      </c>
      <c r="B407" s="766">
        <v>5</v>
      </c>
      <c r="C407" s="766">
        <v>2</v>
      </c>
      <c r="D407" s="1103">
        <v>2113</v>
      </c>
      <c r="E407" s="628">
        <v>202</v>
      </c>
      <c r="F407" s="453" t="s">
        <v>153</v>
      </c>
      <c r="G407" s="629" t="s">
        <v>1169</v>
      </c>
      <c r="H407" s="587"/>
      <c r="I407" s="587"/>
      <c r="J407" s="587"/>
      <c r="K407" s="587"/>
      <c r="L407" s="577"/>
      <c r="M407" s="577"/>
      <c r="N407" s="577"/>
      <c r="O407" s="619"/>
      <c r="P407" s="619"/>
      <c r="Q407" s="618"/>
      <c r="R407" s="1467">
        <v>100000</v>
      </c>
      <c r="S407" s="640"/>
      <c r="T407" s="622">
        <f t="shared" si="126"/>
        <v>0</v>
      </c>
      <c r="V407" s="630">
        <f t="shared" si="127"/>
      </c>
    </row>
    <row r="408" spans="1:22" s="617" customFormat="1" ht="32.25" customHeight="1">
      <c r="A408" s="626">
        <v>10</v>
      </c>
      <c r="B408" s="766">
        <v>5</v>
      </c>
      <c r="C408" s="766">
        <v>2</v>
      </c>
      <c r="D408" s="1103">
        <v>2115</v>
      </c>
      <c r="E408" s="628">
        <v>202</v>
      </c>
      <c r="F408" s="628" t="s">
        <v>893</v>
      </c>
      <c r="G408" s="629" t="s">
        <v>1066</v>
      </c>
      <c r="H408" s="587"/>
      <c r="I408" s="587"/>
      <c r="J408" s="587"/>
      <c r="K408" s="587"/>
      <c r="L408" s="1193">
        <v>19237</v>
      </c>
      <c r="M408" s="577"/>
      <c r="N408" s="1467">
        <v>10000</v>
      </c>
      <c r="O408" s="619"/>
      <c r="P408" s="619"/>
      <c r="Q408" s="739"/>
      <c r="R408" s="577"/>
      <c r="S408" s="640"/>
      <c r="T408" s="622">
        <f t="shared" si="126"/>
        <v>10000</v>
      </c>
      <c r="V408" s="630">
        <f t="shared" si="127"/>
      </c>
    </row>
    <row r="409" spans="1:22" ht="27" customHeight="1" thickBot="1">
      <c r="A409" s="1284" t="s">
        <v>63</v>
      </c>
      <c r="B409" s="1285"/>
      <c r="C409" s="1285"/>
      <c r="D409" s="1285"/>
      <c r="E409" s="1285"/>
      <c r="F409" s="1285"/>
      <c r="G409" s="1286"/>
      <c r="H409" s="1486">
        <f aca="true" t="shared" si="128" ref="H409:T409">SUM(H378:H408)</f>
        <v>437097.95</v>
      </c>
      <c r="I409" s="512">
        <f t="shared" si="128"/>
        <v>0</v>
      </c>
      <c r="J409" s="512">
        <f t="shared" si="128"/>
        <v>725877.85</v>
      </c>
      <c r="K409" s="512">
        <f t="shared" si="128"/>
        <v>0</v>
      </c>
      <c r="L409" s="578">
        <f t="shared" si="128"/>
        <v>1168209.85</v>
      </c>
      <c r="M409" s="578">
        <f t="shared" si="128"/>
        <v>431913.42000000004</v>
      </c>
      <c r="N409" s="578">
        <f t="shared" si="128"/>
        <v>1140000</v>
      </c>
      <c r="O409" s="513">
        <f t="shared" si="128"/>
        <v>0</v>
      </c>
      <c r="P409" s="513">
        <f t="shared" si="128"/>
        <v>380000</v>
      </c>
      <c r="Q409" s="514">
        <f t="shared" si="128"/>
        <v>0</v>
      </c>
      <c r="R409" s="514">
        <f t="shared" si="128"/>
        <v>910000</v>
      </c>
      <c r="S409" s="514">
        <f t="shared" si="128"/>
        <v>0</v>
      </c>
      <c r="T409" s="670">
        <f t="shared" si="128"/>
        <v>1577097.9500000002</v>
      </c>
      <c r="V409" s="630">
        <f t="shared" si="127"/>
      </c>
    </row>
    <row r="410" spans="1:26" s="686" customFormat="1" ht="21" customHeight="1" thickBot="1">
      <c r="A410" s="1262" t="s">
        <v>65</v>
      </c>
      <c r="B410" s="1263"/>
      <c r="C410" s="1263"/>
      <c r="D410" s="1263"/>
      <c r="E410" s="1263"/>
      <c r="F410" s="1263"/>
      <c r="G410" s="1264"/>
      <c r="H410" s="1489">
        <f>H409</f>
        <v>437097.95</v>
      </c>
      <c r="I410" s="586">
        <f aca="true" t="shared" si="129" ref="I410:O410">I409</f>
        <v>0</v>
      </c>
      <c r="J410" s="586">
        <f t="shared" si="129"/>
        <v>725877.85</v>
      </c>
      <c r="K410" s="586">
        <f t="shared" si="129"/>
        <v>0</v>
      </c>
      <c r="L410" s="586">
        <f t="shared" si="129"/>
        <v>1168209.85</v>
      </c>
      <c r="M410" s="586">
        <f t="shared" si="129"/>
        <v>431913.42000000004</v>
      </c>
      <c r="N410" s="586">
        <f t="shared" si="129"/>
        <v>1140000</v>
      </c>
      <c r="O410" s="586">
        <f t="shared" si="129"/>
        <v>0</v>
      </c>
      <c r="P410" s="586">
        <f>P409</f>
        <v>380000</v>
      </c>
      <c r="Q410" s="586">
        <f>Q409</f>
        <v>0</v>
      </c>
      <c r="R410" s="586">
        <f>R409</f>
        <v>910000</v>
      </c>
      <c r="S410" s="586">
        <f>S409</f>
        <v>0</v>
      </c>
      <c r="T410" s="586">
        <f>T409</f>
        <v>1577097.9500000002</v>
      </c>
      <c r="V410" s="630">
        <f t="shared" si="127"/>
      </c>
      <c r="X410" s="687"/>
      <c r="Z410" s="687"/>
    </row>
    <row r="411" spans="1:26" s="482" customFormat="1" ht="21" customHeight="1" thickBot="1">
      <c r="A411" s="1259" t="s">
        <v>66</v>
      </c>
      <c r="B411" s="1260"/>
      <c r="C411" s="1260"/>
      <c r="D411" s="1260"/>
      <c r="E411" s="1260"/>
      <c r="F411" s="1260"/>
      <c r="G411" s="1261"/>
      <c r="H411" s="1269"/>
      <c r="I411" s="1270"/>
      <c r="J411" s="1270"/>
      <c r="K411" s="1270"/>
      <c r="L411" s="1270"/>
      <c r="M411" s="1270"/>
      <c r="N411" s="1270"/>
      <c r="O411" s="1270"/>
      <c r="P411" s="1270"/>
      <c r="Q411" s="1270"/>
      <c r="R411" s="1270"/>
      <c r="S411" s="1270"/>
      <c r="T411" s="1270"/>
      <c r="V411" s="630">
        <f t="shared" si="127"/>
      </c>
      <c r="X411" s="686"/>
      <c r="Y411" s="686"/>
      <c r="Z411" s="695"/>
    </row>
    <row r="412" spans="1:22" ht="27" customHeight="1">
      <c r="A412" s="414">
        <v>11</v>
      </c>
      <c r="B412" s="438">
        <v>1</v>
      </c>
      <c r="C412" s="438">
        <v>2</v>
      </c>
      <c r="D412" s="1167">
        <v>2030</v>
      </c>
      <c r="E412" s="439">
        <v>203</v>
      </c>
      <c r="F412" s="439" t="s">
        <v>895</v>
      </c>
      <c r="G412" s="1064" t="s">
        <v>1082</v>
      </c>
      <c r="H412" s="442"/>
      <c r="I412" s="442"/>
      <c r="J412" s="442"/>
      <c r="K412" s="442"/>
      <c r="L412" s="593"/>
      <c r="M412" s="593"/>
      <c r="N412" s="596"/>
      <c r="O412" s="836"/>
      <c r="P412" s="836"/>
      <c r="Q412" s="836"/>
      <c r="R412" s="1468">
        <v>150000</v>
      </c>
      <c r="S412" s="540"/>
      <c r="T412" s="840">
        <f>H412+N412</f>
        <v>0</v>
      </c>
      <c r="V412" s="630">
        <f t="shared" si="127"/>
      </c>
    </row>
    <row r="413" spans="1:22" ht="27" customHeight="1">
      <c r="A413" s="406">
        <v>11</v>
      </c>
      <c r="B413" s="503">
        <v>1</v>
      </c>
      <c r="C413" s="503">
        <v>2</v>
      </c>
      <c r="D413" s="1137">
        <v>2104</v>
      </c>
      <c r="E413" s="502">
        <v>203</v>
      </c>
      <c r="F413" s="502" t="s">
        <v>895</v>
      </c>
      <c r="G413" s="440" t="s">
        <v>651</v>
      </c>
      <c r="H413" s="504">
        <v>3500</v>
      </c>
      <c r="I413" s="504"/>
      <c r="J413" s="504">
        <v>3500</v>
      </c>
      <c r="K413" s="504"/>
      <c r="L413" s="1194">
        <v>0</v>
      </c>
      <c r="M413" s="1168">
        <v>3500</v>
      </c>
      <c r="N413" s="587"/>
      <c r="O413" s="541"/>
      <c r="P413" s="541"/>
      <c r="Q413" s="542"/>
      <c r="R413" s="504"/>
      <c r="S413" s="543"/>
      <c r="T413" s="680">
        <f>H413+N413</f>
        <v>3500</v>
      </c>
      <c r="V413" s="630">
        <f t="shared" si="127"/>
      </c>
    </row>
    <row r="414" spans="1:22" ht="27" customHeight="1">
      <c r="A414" s="1318" t="s">
        <v>356</v>
      </c>
      <c r="B414" s="1319"/>
      <c r="C414" s="1319"/>
      <c r="D414" s="1319"/>
      <c r="E414" s="1319"/>
      <c r="F414" s="1319"/>
      <c r="G414" s="1319"/>
      <c r="H414" s="1486">
        <f aca="true" t="shared" si="130" ref="H414:T414">SUM(H412:H413)</f>
        <v>3500</v>
      </c>
      <c r="I414" s="512">
        <f t="shared" si="130"/>
        <v>0</v>
      </c>
      <c r="J414" s="512">
        <f t="shared" si="130"/>
        <v>3500</v>
      </c>
      <c r="K414" s="512">
        <f t="shared" si="130"/>
        <v>0</v>
      </c>
      <c r="L414" s="580">
        <f t="shared" si="130"/>
        <v>0</v>
      </c>
      <c r="M414" s="580">
        <f t="shared" si="130"/>
        <v>3500</v>
      </c>
      <c r="N414" s="580">
        <f t="shared" si="130"/>
        <v>0</v>
      </c>
      <c r="O414" s="512">
        <f t="shared" si="130"/>
        <v>0</v>
      </c>
      <c r="P414" s="512">
        <f t="shared" si="130"/>
        <v>0</v>
      </c>
      <c r="Q414" s="517">
        <f t="shared" si="130"/>
        <v>0</v>
      </c>
      <c r="R414" s="517">
        <f t="shared" si="130"/>
        <v>150000</v>
      </c>
      <c r="S414" s="517">
        <f t="shared" si="130"/>
        <v>0</v>
      </c>
      <c r="T414" s="613">
        <f t="shared" si="130"/>
        <v>3500</v>
      </c>
      <c r="V414" s="630">
        <f t="shared" si="127"/>
      </c>
    </row>
    <row r="415" spans="1:22" ht="27" customHeight="1">
      <c r="A415" s="381">
        <v>11</v>
      </c>
      <c r="B415" s="484">
        <v>2</v>
      </c>
      <c r="C415" s="484">
        <v>2</v>
      </c>
      <c r="D415" s="1137">
        <v>2121</v>
      </c>
      <c r="E415" s="452">
        <v>204</v>
      </c>
      <c r="F415" s="452" t="s">
        <v>84</v>
      </c>
      <c r="G415" s="536" t="s">
        <v>286</v>
      </c>
      <c r="H415" s="487"/>
      <c r="I415" s="487"/>
      <c r="J415" s="487"/>
      <c r="K415" s="487"/>
      <c r="L415" s="592"/>
      <c r="M415" s="592"/>
      <c r="N415" s="574"/>
      <c r="O415" s="537"/>
      <c r="P415" s="537"/>
      <c r="Q415" s="538"/>
      <c r="R415" s="487"/>
      <c r="S415" s="539"/>
      <c r="T415" s="635"/>
      <c r="V415" s="630">
        <f t="shared" si="127"/>
      </c>
    </row>
    <row r="416" spans="1:26" s="482" customFormat="1" ht="27.75" customHeight="1" thickBot="1">
      <c r="A416" s="1318" t="s">
        <v>357</v>
      </c>
      <c r="B416" s="1319"/>
      <c r="C416" s="1319"/>
      <c r="D416" s="1319"/>
      <c r="E416" s="1319"/>
      <c r="F416" s="1319"/>
      <c r="G416" s="1319"/>
      <c r="H416" s="512">
        <f aca="true" t="shared" si="131" ref="H416:Q416">SUM(H415)</f>
        <v>0</v>
      </c>
      <c r="I416" s="512">
        <f t="shared" si="131"/>
        <v>0</v>
      </c>
      <c r="J416" s="512">
        <f t="shared" si="131"/>
        <v>0</v>
      </c>
      <c r="K416" s="512">
        <f t="shared" si="131"/>
        <v>0</v>
      </c>
      <c r="L416" s="580">
        <f t="shared" si="131"/>
        <v>0</v>
      </c>
      <c r="M416" s="580">
        <f t="shared" si="131"/>
        <v>0</v>
      </c>
      <c r="N416" s="580">
        <f t="shared" si="131"/>
        <v>0</v>
      </c>
      <c r="O416" s="512">
        <f t="shared" si="131"/>
        <v>0</v>
      </c>
      <c r="P416" s="512">
        <f t="shared" si="131"/>
        <v>0</v>
      </c>
      <c r="Q416" s="517">
        <f t="shared" si="131"/>
        <v>0</v>
      </c>
      <c r="R416" s="517">
        <f>SUM(R415)</f>
        <v>0</v>
      </c>
      <c r="S416" s="517">
        <f>SUM(S415)</f>
        <v>0</v>
      </c>
      <c r="T416" s="613">
        <f>SUM(T415)</f>
        <v>0</v>
      </c>
      <c r="V416" s="630">
        <f t="shared" si="127"/>
      </c>
      <c r="X416" s="686"/>
      <c r="Y416" s="686"/>
      <c r="Z416" s="686"/>
    </row>
    <row r="417" spans="1:22" s="686" customFormat="1" ht="21" customHeight="1" thickBot="1">
      <c r="A417" s="1262" t="s">
        <v>67</v>
      </c>
      <c r="B417" s="1263"/>
      <c r="C417" s="1263"/>
      <c r="D417" s="1263"/>
      <c r="E417" s="1263"/>
      <c r="F417" s="1263"/>
      <c r="G417" s="1264"/>
      <c r="H417" s="1489">
        <f>H414+H416</f>
        <v>3500</v>
      </c>
      <c r="I417" s="586">
        <f aca="true" t="shared" si="132" ref="I417:O417">I414+I416</f>
        <v>0</v>
      </c>
      <c r="J417" s="586">
        <f t="shared" si="132"/>
        <v>3500</v>
      </c>
      <c r="K417" s="586">
        <f t="shared" si="132"/>
        <v>0</v>
      </c>
      <c r="L417" s="586">
        <f t="shared" si="132"/>
        <v>0</v>
      </c>
      <c r="M417" s="586">
        <f t="shared" si="132"/>
        <v>3500</v>
      </c>
      <c r="N417" s="586">
        <f t="shared" si="132"/>
        <v>0</v>
      </c>
      <c r="O417" s="586">
        <f t="shared" si="132"/>
        <v>0</v>
      </c>
      <c r="P417" s="586">
        <f>P414+P416</f>
        <v>0</v>
      </c>
      <c r="Q417" s="586">
        <f>Q414+Q416</f>
        <v>0</v>
      </c>
      <c r="R417" s="586">
        <f>R414+R416</f>
        <v>150000</v>
      </c>
      <c r="S417" s="586">
        <f>S414+S416</f>
        <v>0</v>
      </c>
      <c r="T417" s="586">
        <f>T414+T416</f>
        <v>3500</v>
      </c>
      <c r="V417" s="630">
        <f t="shared" si="127"/>
      </c>
    </row>
    <row r="418" spans="1:26" s="482" customFormat="1" ht="21" customHeight="1" thickBot="1">
      <c r="A418" s="1259" t="s">
        <v>68</v>
      </c>
      <c r="B418" s="1260"/>
      <c r="C418" s="1260"/>
      <c r="D418" s="1260"/>
      <c r="E418" s="1260"/>
      <c r="F418" s="1260"/>
      <c r="G418" s="1261"/>
      <c r="H418" s="1269"/>
      <c r="I418" s="1270"/>
      <c r="J418" s="1270"/>
      <c r="K418" s="1270"/>
      <c r="L418" s="1270"/>
      <c r="M418" s="1270"/>
      <c r="N418" s="1270"/>
      <c r="O418" s="1270"/>
      <c r="P418" s="1270"/>
      <c r="Q418" s="1270"/>
      <c r="R418" s="1270"/>
      <c r="S418" s="1270"/>
      <c r="T418" s="1270"/>
      <c r="V418" s="630">
        <f t="shared" si="127"/>
      </c>
      <c r="X418" s="686"/>
      <c r="Y418" s="686"/>
      <c r="Z418" s="686"/>
    </row>
    <row r="419" spans="1:26" s="478" customFormat="1" ht="27.75" customHeight="1">
      <c r="A419" s="414">
        <v>12</v>
      </c>
      <c r="B419" s="518">
        <v>2</v>
      </c>
      <c r="C419" s="518">
        <v>2</v>
      </c>
      <c r="D419" s="1137">
        <v>1539</v>
      </c>
      <c r="E419" s="518">
        <v>205</v>
      </c>
      <c r="F419" s="439" t="s">
        <v>902</v>
      </c>
      <c r="G419" s="520" t="s">
        <v>650</v>
      </c>
      <c r="H419" s="442"/>
      <c r="I419" s="442"/>
      <c r="J419" s="442"/>
      <c r="K419" s="442"/>
      <c r="L419" s="588"/>
      <c r="M419" s="588"/>
      <c r="N419" s="588"/>
      <c r="O419" s="739"/>
      <c r="P419" s="739"/>
      <c r="Q419" s="749"/>
      <c r="R419" s="588"/>
      <c r="S419" s="522"/>
      <c r="T419" s="677">
        <f>H419+N419</f>
        <v>0</v>
      </c>
      <c r="V419" s="630">
        <f t="shared" si="127"/>
      </c>
      <c r="X419" s="617"/>
      <c r="Y419" s="617"/>
      <c r="Z419" s="617"/>
    </row>
    <row r="420" spans="1:26" s="482" customFormat="1" ht="27.75" customHeight="1">
      <c r="A420" s="1271" t="s">
        <v>358</v>
      </c>
      <c r="B420" s="1272"/>
      <c r="C420" s="1272"/>
      <c r="D420" s="1272"/>
      <c r="E420" s="1272"/>
      <c r="F420" s="1272"/>
      <c r="G420" s="1273"/>
      <c r="H420" s="512">
        <f aca="true" t="shared" si="133" ref="H420:Q420">SUM(H419)</f>
        <v>0</v>
      </c>
      <c r="I420" s="512">
        <f t="shared" si="133"/>
        <v>0</v>
      </c>
      <c r="J420" s="512">
        <f t="shared" si="133"/>
        <v>0</v>
      </c>
      <c r="K420" s="512">
        <f t="shared" si="133"/>
        <v>0</v>
      </c>
      <c r="L420" s="580">
        <f t="shared" si="133"/>
        <v>0</v>
      </c>
      <c r="M420" s="580">
        <f t="shared" si="133"/>
        <v>0</v>
      </c>
      <c r="N420" s="580">
        <f t="shared" si="133"/>
        <v>0</v>
      </c>
      <c r="O420" s="580">
        <f t="shared" si="133"/>
        <v>0</v>
      </c>
      <c r="P420" s="580">
        <f t="shared" si="133"/>
        <v>0</v>
      </c>
      <c r="Q420" s="612">
        <f t="shared" si="133"/>
        <v>0</v>
      </c>
      <c r="R420" s="612">
        <f>SUM(R419)</f>
        <v>0</v>
      </c>
      <c r="S420" s="517">
        <f>SUM(S419)</f>
        <v>0</v>
      </c>
      <c r="T420" s="613">
        <f>SUM(T419)</f>
        <v>0</v>
      </c>
      <c r="V420" s="630">
        <f t="shared" si="127"/>
      </c>
      <c r="X420" s="686"/>
      <c r="Y420" s="686"/>
      <c r="Z420" s="686"/>
    </row>
    <row r="421" spans="1:26" s="478" customFormat="1" ht="27.75" customHeight="1">
      <c r="A421" s="381">
        <v>12</v>
      </c>
      <c r="B421" s="484">
        <v>9</v>
      </c>
      <c r="C421" s="484">
        <v>2</v>
      </c>
      <c r="D421" s="1132">
        <v>2140</v>
      </c>
      <c r="E421" s="952">
        <v>202</v>
      </c>
      <c r="F421" s="452" t="s">
        <v>153</v>
      </c>
      <c r="G421" s="531" t="s">
        <v>287</v>
      </c>
      <c r="H421" s="487">
        <v>928.91</v>
      </c>
      <c r="I421" s="487"/>
      <c r="J421" s="487"/>
      <c r="K421" s="487"/>
      <c r="L421" s="579"/>
      <c r="M421" s="579"/>
      <c r="N421" s="579"/>
      <c r="O421" s="738"/>
      <c r="P421" s="738"/>
      <c r="Q421" s="738"/>
      <c r="R421" s="579"/>
      <c r="S421" s="491"/>
      <c r="T421" s="625">
        <f>H421+N421</f>
        <v>928.91</v>
      </c>
      <c r="V421" s="630">
        <f t="shared" si="127"/>
      </c>
      <c r="X421" s="617"/>
      <c r="Y421" s="617"/>
      <c r="Z421" s="617"/>
    </row>
    <row r="422" spans="1:26" s="478" customFormat="1" ht="32.25" customHeight="1">
      <c r="A422" s="381">
        <v>12</v>
      </c>
      <c r="B422" s="484">
        <v>9</v>
      </c>
      <c r="C422" s="484">
        <v>2</v>
      </c>
      <c r="D422" s="1105">
        <v>2141</v>
      </c>
      <c r="E422" s="952">
        <v>202</v>
      </c>
      <c r="F422" s="452" t="s">
        <v>153</v>
      </c>
      <c r="G422" s="787" t="s">
        <v>1170</v>
      </c>
      <c r="H422" s="487"/>
      <c r="I422" s="487"/>
      <c r="J422" s="487"/>
      <c r="K422" s="487"/>
      <c r="L422" s="579"/>
      <c r="M422" s="579"/>
      <c r="N422" s="579"/>
      <c r="O422" s="738"/>
      <c r="P422" s="738"/>
      <c r="Q422" s="738"/>
      <c r="R422" s="1469">
        <v>50000</v>
      </c>
      <c r="S422" s="491"/>
      <c r="T422" s="625">
        <f>H422+N422</f>
        <v>0</v>
      </c>
      <c r="V422" s="630">
        <f t="shared" si="127"/>
      </c>
      <c r="X422" s="617"/>
      <c r="Y422" s="617"/>
      <c r="Z422" s="617"/>
    </row>
    <row r="423" spans="1:26" s="478" customFormat="1" ht="27.75" customHeight="1">
      <c r="A423" s="381">
        <v>12</v>
      </c>
      <c r="B423" s="484">
        <v>9</v>
      </c>
      <c r="C423" s="484">
        <v>2</v>
      </c>
      <c r="D423" s="1132">
        <v>2150</v>
      </c>
      <c r="E423" s="952">
        <v>202</v>
      </c>
      <c r="F423" s="452" t="s">
        <v>897</v>
      </c>
      <c r="G423" s="531" t="s">
        <v>652</v>
      </c>
      <c r="H423" s="487">
        <v>3484.3</v>
      </c>
      <c r="I423" s="487"/>
      <c r="J423" s="487">
        <v>3484.3</v>
      </c>
      <c r="K423" s="487"/>
      <c r="L423" s="1186">
        <v>0</v>
      </c>
      <c r="M423" s="1165">
        <v>3484.3</v>
      </c>
      <c r="N423" s="579"/>
      <c r="O423" s="738"/>
      <c r="P423" s="738"/>
      <c r="Q423" s="738"/>
      <c r="R423" s="579"/>
      <c r="S423" s="491"/>
      <c r="T423" s="625">
        <f>H423+N423</f>
        <v>3484.3</v>
      </c>
      <c r="V423" s="630">
        <f t="shared" si="127"/>
      </c>
      <c r="X423" s="617"/>
      <c r="Y423" s="617"/>
      <c r="Z423" s="617"/>
    </row>
    <row r="424" spans="1:26" s="478" customFormat="1" ht="27.75" customHeight="1">
      <c r="A424" s="381">
        <v>12</v>
      </c>
      <c r="B424" s="484">
        <v>9</v>
      </c>
      <c r="C424" s="484">
        <v>2</v>
      </c>
      <c r="D424" s="1132">
        <v>2155</v>
      </c>
      <c r="E424" s="952">
        <v>202</v>
      </c>
      <c r="F424" s="452" t="s">
        <v>897</v>
      </c>
      <c r="G424" s="531" t="s">
        <v>828</v>
      </c>
      <c r="H424" s="487"/>
      <c r="I424" s="487"/>
      <c r="J424" s="487">
        <v>40000</v>
      </c>
      <c r="K424" s="487"/>
      <c r="L424" s="1186">
        <v>0</v>
      </c>
      <c r="M424" s="1165">
        <v>40000</v>
      </c>
      <c r="N424" s="579"/>
      <c r="O424" s="738"/>
      <c r="P424" s="738"/>
      <c r="Q424" s="738"/>
      <c r="R424" s="579"/>
      <c r="S424" s="491"/>
      <c r="T424" s="625">
        <f>H424+N424</f>
        <v>0</v>
      </c>
      <c r="V424" s="630">
        <f t="shared" si="127"/>
      </c>
      <c r="X424" s="617"/>
      <c r="Y424" s="617"/>
      <c r="Z424" s="617"/>
    </row>
    <row r="425" spans="1:26" s="478" customFormat="1" ht="27.75" customHeight="1">
      <c r="A425" s="381">
        <v>12</v>
      </c>
      <c r="B425" s="484">
        <v>9</v>
      </c>
      <c r="C425" s="484">
        <v>2</v>
      </c>
      <c r="D425" s="1132">
        <v>2160</v>
      </c>
      <c r="E425" s="952">
        <v>202</v>
      </c>
      <c r="F425" s="452" t="s">
        <v>153</v>
      </c>
      <c r="G425" s="531" t="s">
        <v>653</v>
      </c>
      <c r="H425" s="487"/>
      <c r="I425" s="487"/>
      <c r="J425" s="487"/>
      <c r="K425" s="487"/>
      <c r="L425" s="579"/>
      <c r="M425" s="579"/>
      <c r="N425" s="579"/>
      <c r="O425" s="738"/>
      <c r="P425" s="738"/>
      <c r="Q425" s="738"/>
      <c r="R425" s="579"/>
      <c r="S425" s="491"/>
      <c r="T425" s="625">
        <f>H425+N425</f>
        <v>0</v>
      </c>
      <c r="V425" s="630">
        <f t="shared" si="127"/>
      </c>
      <c r="X425" s="617"/>
      <c r="Y425" s="617"/>
      <c r="Z425" s="617"/>
    </row>
    <row r="426" spans="1:26" s="478" customFormat="1" ht="27.75" customHeight="1" thickBot="1">
      <c r="A426" s="1284" t="s">
        <v>338</v>
      </c>
      <c r="B426" s="1285"/>
      <c r="C426" s="1285"/>
      <c r="D426" s="1285"/>
      <c r="E426" s="1285"/>
      <c r="F426" s="1285"/>
      <c r="G426" s="1286"/>
      <c r="H426" s="1486">
        <f>SUM(H421:H425)</f>
        <v>4413.21</v>
      </c>
      <c r="I426" s="512">
        <f aca="true" t="shared" si="134" ref="I426:R426">SUM(I421:I425)</f>
        <v>0</v>
      </c>
      <c r="J426" s="512">
        <f t="shared" si="134"/>
        <v>43484.3</v>
      </c>
      <c r="K426" s="512">
        <f t="shared" si="134"/>
        <v>0</v>
      </c>
      <c r="L426" s="512">
        <f t="shared" si="134"/>
        <v>0</v>
      </c>
      <c r="M426" s="512">
        <f t="shared" si="134"/>
        <v>43484.3</v>
      </c>
      <c r="N426" s="512">
        <f t="shared" si="134"/>
        <v>0</v>
      </c>
      <c r="O426" s="512">
        <f t="shared" si="134"/>
        <v>0</v>
      </c>
      <c r="P426" s="512">
        <f t="shared" si="134"/>
        <v>0</v>
      </c>
      <c r="Q426" s="512">
        <f t="shared" si="134"/>
        <v>0</v>
      </c>
      <c r="R426" s="512">
        <f t="shared" si="134"/>
        <v>50000</v>
      </c>
      <c r="S426" s="512">
        <f>SUM(S421:S425)</f>
        <v>0</v>
      </c>
      <c r="T426" s="845">
        <f>SUM(T421:T425)</f>
        <v>4413.21</v>
      </c>
      <c r="V426" s="630">
        <f t="shared" si="127"/>
      </c>
      <c r="X426" s="617"/>
      <c r="Y426" s="617"/>
      <c r="Z426" s="617"/>
    </row>
    <row r="427" spans="1:26" s="686" customFormat="1" ht="21" customHeight="1" thickBot="1">
      <c r="A427" s="1262" t="s">
        <v>69</v>
      </c>
      <c r="B427" s="1263"/>
      <c r="C427" s="1263"/>
      <c r="D427" s="1263"/>
      <c r="E427" s="1263"/>
      <c r="F427" s="1263"/>
      <c r="G427" s="1264"/>
      <c r="H427" s="1489">
        <f>H420+H426</f>
        <v>4413.21</v>
      </c>
      <c r="I427" s="586">
        <f aca="true" t="shared" si="135" ref="I427:O427">I420+I426</f>
        <v>0</v>
      </c>
      <c r="J427" s="586">
        <f t="shared" si="135"/>
        <v>43484.3</v>
      </c>
      <c r="K427" s="586">
        <f t="shared" si="135"/>
        <v>0</v>
      </c>
      <c r="L427" s="586">
        <f t="shared" si="135"/>
        <v>0</v>
      </c>
      <c r="M427" s="586">
        <f t="shared" si="135"/>
        <v>43484.3</v>
      </c>
      <c r="N427" s="586">
        <f t="shared" si="135"/>
        <v>0</v>
      </c>
      <c r="O427" s="586">
        <f t="shared" si="135"/>
        <v>0</v>
      </c>
      <c r="P427" s="586">
        <f>P420+P426</f>
        <v>0</v>
      </c>
      <c r="Q427" s="586">
        <f>Q420+Q426</f>
        <v>0</v>
      </c>
      <c r="R427" s="586">
        <f>R420+R426</f>
        <v>50000</v>
      </c>
      <c r="S427" s="586">
        <f>S420+S426</f>
        <v>0</v>
      </c>
      <c r="T427" s="586">
        <f>T420+T426</f>
        <v>4413.21</v>
      </c>
      <c r="V427" s="630">
        <f t="shared" si="127"/>
      </c>
      <c r="X427" s="687"/>
      <c r="Z427" s="687"/>
    </row>
    <row r="428" spans="1:26" s="482" customFormat="1" ht="21" customHeight="1" thickBot="1">
      <c r="A428" s="1259" t="s">
        <v>970</v>
      </c>
      <c r="B428" s="1260"/>
      <c r="C428" s="1260"/>
      <c r="D428" s="1260"/>
      <c r="E428" s="1260"/>
      <c r="F428" s="1260"/>
      <c r="G428" s="1261"/>
      <c r="H428" s="1269"/>
      <c r="I428" s="1270"/>
      <c r="J428" s="1270"/>
      <c r="K428" s="1270"/>
      <c r="L428" s="1270"/>
      <c r="M428" s="1270"/>
      <c r="N428" s="1270"/>
      <c r="O428" s="1270"/>
      <c r="P428" s="1270"/>
      <c r="Q428" s="1270"/>
      <c r="R428" s="1270"/>
      <c r="S428" s="1270"/>
      <c r="T428" s="1270"/>
      <c r="V428" s="630">
        <f t="shared" si="127"/>
      </c>
      <c r="X428" s="686"/>
      <c r="Y428" s="686"/>
      <c r="Z428" s="686"/>
    </row>
    <row r="429" spans="1:26" s="478" customFormat="1" ht="27.75" customHeight="1">
      <c r="A429" s="381">
        <v>17</v>
      </c>
      <c r="B429" s="484">
        <v>1</v>
      </c>
      <c r="C429" s="484">
        <v>2</v>
      </c>
      <c r="D429" s="1105">
        <v>2185</v>
      </c>
      <c r="E429" s="776">
        <v>202</v>
      </c>
      <c r="F429" s="740" t="s">
        <v>893</v>
      </c>
      <c r="G429" s="787" t="s">
        <v>1071</v>
      </c>
      <c r="H429" s="487"/>
      <c r="I429" s="487"/>
      <c r="J429" s="487"/>
      <c r="K429" s="487"/>
      <c r="L429" s="579"/>
      <c r="M429" s="579"/>
      <c r="N429" s="579"/>
      <c r="O429" s="488"/>
      <c r="P429" s="1461">
        <v>10000</v>
      </c>
      <c r="Q429" s="489"/>
      <c r="R429" s="574"/>
      <c r="S429" s="491"/>
      <c r="T429" s="669"/>
      <c r="V429" s="630">
        <f t="shared" si="127"/>
      </c>
      <c r="X429" s="617"/>
      <c r="Y429" s="617"/>
      <c r="Z429" s="617"/>
    </row>
    <row r="430" spans="1:26" s="478" customFormat="1" ht="27.75" customHeight="1">
      <c r="A430" s="386"/>
      <c r="B430" s="499"/>
      <c r="C430" s="499">
        <v>2</v>
      </c>
      <c r="D430" s="494"/>
      <c r="E430" s="493"/>
      <c r="F430" s="453"/>
      <c r="G430" s="500"/>
      <c r="H430" s="496"/>
      <c r="I430" s="496"/>
      <c r="J430" s="496"/>
      <c r="K430" s="496"/>
      <c r="L430" s="576"/>
      <c r="M430" s="576"/>
      <c r="N430" s="576"/>
      <c r="O430" s="497"/>
      <c r="P430" s="497"/>
      <c r="Q430" s="497"/>
      <c r="R430" s="495"/>
      <c r="S430" s="498"/>
      <c r="T430" s="622"/>
      <c r="V430" s="630">
        <f t="shared" si="127"/>
      </c>
      <c r="X430" s="617"/>
      <c r="Y430" s="617"/>
      <c r="Z430" s="617"/>
    </row>
    <row r="431" spans="1:26" s="478" customFormat="1" ht="27.75" customHeight="1">
      <c r="A431" s="406"/>
      <c r="B431" s="503"/>
      <c r="C431" s="503">
        <v>2</v>
      </c>
      <c r="D431" s="508"/>
      <c r="E431" s="501"/>
      <c r="F431" s="502"/>
      <c r="G431" s="516"/>
      <c r="H431" s="504"/>
      <c r="I431" s="504"/>
      <c r="J431" s="504"/>
      <c r="K431" s="504"/>
      <c r="L431" s="577"/>
      <c r="M431" s="577"/>
      <c r="N431" s="577"/>
      <c r="O431" s="506"/>
      <c r="P431" s="506"/>
      <c r="Q431" s="506"/>
      <c r="R431" s="505"/>
      <c r="S431" s="507"/>
      <c r="T431" s="641"/>
      <c r="V431" s="630">
        <f t="shared" si="127"/>
      </c>
      <c r="X431" s="617"/>
      <c r="Y431" s="617"/>
      <c r="Z431" s="617"/>
    </row>
    <row r="432" spans="1:26" s="478" customFormat="1" ht="27.75" customHeight="1">
      <c r="A432" s="406"/>
      <c r="B432" s="503"/>
      <c r="C432" s="503">
        <v>2</v>
      </c>
      <c r="D432" s="508"/>
      <c r="E432" s="501"/>
      <c r="F432" s="502"/>
      <c r="G432" s="516"/>
      <c r="H432" s="504"/>
      <c r="I432" s="504"/>
      <c r="J432" s="504"/>
      <c r="K432" s="504"/>
      <c r="L432" s="577"/>
      <c r="M432" s="577"/>
      <c r="N432" s="577"/>
      <c r="O432" s="506"/>
      <c r="P432" s="506"/>
      <c r="Q432" s="506"/>
      <c r="R432" s="505"/>
      <c r="S432" s="507"/>
      <c r="T432" s="641"/>
      <c r="V432" s="630">
        <f t="shared" si="127"/>
      </c>
      <c r="X432" s="617"/>
      <c r="Y432" s="617"/>
      <c r="Z432" s="617"/>
    </row>
    <row r="433" spans="1:26" s="478" customFormat="1" ht="27.75" customHeight="1">
      <c r="A433" s="406"/>
      <c r="B433" s="503"/>
      <c r="C433" s="503">
        <v>2</v>
      </c>
      <c r="D433" s="508"/>
      <c r="E433" s="501"/>
      <c r="F433" s="502"/>
      <c r="G433" s="516"/>
      <c r="H433" s="504"/>
      <c r="I433" s="504"/>
      <c r="J433" s="504"/>
      <c r="K433" s="504"/>
      <c r="L433" s="577"/>
      <c r="M433" s="577"/>
      <c r="N433" s="577"/>
      <c r="O433" s="506"/>
      <c r="P433" s="506"/>
      <c r="Q433" s="511"/>
      <c r="R433" s="505"/>
      <c r="S433" s="507"/>
      <c r="T433" s="641"/>
      <c r="V433" s="630">
        <f t="shared" si="127"/>
      </c>
      <c r="X433" s="617"/>
      <c r="Y433" s="617"/>
      <c r="Z433" s="617"/>
    </row>
    <row r="434" spans="1:22" ht="27" customHeight="1" thickBot="1">
      <c r="A434" s="1318" t="s">
        <v>359</v>
      </c>
      <c r="B434" s="1319"/>
      <c r="C434" s="1319"/>
      <c r="D434" s="1319"/>
      <c r="E434" s="1319"/>
      <c r="F434" s="1319"/>
      <c r="G434" s="1319"/>
      <c r="H434" s="512">
        <f aca="true" t="shared" si="136" ref="H434:Q434">SUM(H429:H433)</f>
        <v>0</v>
      </c>
      <c r="I434" s="512">
        <f t="shared" si="136"/>
        <v>0</v>
      </c>
      <c r="J434" s="512">
        <f t="shared" si="136"/>
        <v>0</v>
      </c>
      <c r="K434" s="512">
        <f t="shared" si="136"/>
        <v>0</v>
      </c>
      <c r="L434" s="578">
        <f t="shared" si="136"/>
        <v>0</v>
      </c>
      <c r="M434" s="578">
        <f t="shared" si="136"/>
        <v>0</v>
      </c>
      <c r="N434" s="578">
        <f t="shared" si="136"/>
        <v>0</v>
      </c>
      <c r="O434" s="513">
        <f t="shared" si="136"/>
        <v>0</v>
      </c>
      <c r="P434" s="513">
        <f t="shared" si="136"/>
        <v>10000</v>
      </c>
      <c r="Q434" s="514">
        <f t="shared" si="136"/>
        <v>0</v>
      </c>
      <c r="R434" s="514">
        <f>SUM(R429:R433)</f>
        <v>0</v>
      </c>
      <c r="S434" s="514">
        <f>SUM(S429:S433)</f>
        <v>0</v>
      </c>
      <c r="T434" s="670">
        <f>SUM(T429:T433)</f>
        <v>0</v>
      </c>
      <c r="V434" s="630">
        <f t="shared" si="127"/>
      </c>
    </row>
    <row r="435" spans="1:22" s="686" customFormat="1" ht="21" customHeight="1" thickBot="1">
      <c r="A435" s="1262" t="s">
        <v>340</v>
      </c>
      <c r="B435" s="1263"/>
      <c r="C435" s="1263"/>
      <c r="D435" s="1263"/>
      <c r="E435" s="1263"/>
      <c r="F435" s="1263"/>
      <c r="G435" s="1264"/>
      <c r="H435" s="586">
        <f>H434</f>
        <v>0</v>
      </c>
      <c r="I435" s="586">
        <f aca="true" t="shared" si="137" ref="I435:O435">I434</f>
        <v>0</v>
      </c>
      <c r="J435" s="586">
        <f t="shared" si="137"/>
        <v>0</v>
      </c>
      <c r="K435" s="586">
        <f t="shared" si="137"/>
        <v>0</v>
      </c>
      <c r="L435" s="586">
        <f t="shared" si="137"/>
        <v>0</v>
      </c>
      <c r="M435" s="586">
        <f t="shared" si="137"/>
        <v>0</v>
      </c>
      <c r="N435" s="586">
        <f t="shared" si="137"/>
        <v>0</v>
      </c>
      <c r="O435" s="586">
        <f t="shared" si="137"/>
        <v>0</v>
      </c>
      <c r="P435" s="586">
        <f>P434</f>
        <v>10000</v>
      </c>
      <c r="Q435" s="586">
        <f>Q434</f>
        <v>0</v>
      </c>
      <c r="R435" s="586">
        <f>R434</f>
        <v>0</v>
      </c>
      <c r="S435" s="586">
        <f>S434</f>
        <v>0</v>
      </c>
      <c r="T435" s="586">
        <f>T434</f>
        <v>0</v>
      </c>
      <c r="V435" s="630">
        <f t="shared" si="127"/>
      </c>
    </row>
    <row r="436" spans="1:26" s="529" customFormat="1" ht="34.5" customHeight="1" thickBot="1">
      <c r="A436" s="1305" t="s">
        <v>74</v>
      </c>
      <c r="B436" s="1306"/>
      <c r="C436" s="1306"/>
      <c r="D436" s="1306"/>
      <c r="E436" s="1306"/>
      <c r="F436" s="1306"/>
      <c r="G436" s="1306"/>
      <c r="H436" s="829">
        <f aca="true" t="shared" si="138" ref="H436:T436">H312+H333+H338+H356+H364+H376+H410+H417+H427+H435</f>
        <v>3542797.27</v>
      </c>
      <c r="I436" s="829">
        <f t="shared" si="138"/>
        <v>0</v>
      </c>
      <c r="J436" s="829">
        <f t="shared" si="138"/>
        <v>4612991.89</v>
      </c>
      <c r="K436" s="829">
        <f t="shared" si="138"/>
        <v>0</v>
      </c>
      <c r="L436" s="829">
        <f t="shared" si="138"/>
        <v>5469769.3100000005</v>
      </c>
      <c r="M436" s="829">
        <f t="shared" si="138"/>
        <v>1126337.82</v>
      </c>
      <c r="N436" s="829">
        <f t="shared" si="138"/>
        <v>3051455</v>
      </c>
      <c r="O436" s="829">
        <f t="shared" si="138"/>
        <v>0</v>
      </c>
      <c r="P436" s="829">
        <f t="shared" si="138"/>
        <v>2050400</v>
      </c>
      <c r="Q436" s="829" t="e">
        <f t="shared" si="138"/>
        <v>#REF!</v>
      </c>
      <c r="R436" s="829">
        <f t="shared" si="138"/>
        <v>1632400</v>
      </c>
      <c r="S436" s="829">
        <f t="shared" si="138"/>
        <v>0</v>
      </c>
      <c r="T436" s="820">
        <f t="shared" si="138"/>
        <v>6594252.27</v>
      </c>
      <c r="V436" s="630">
        <f t="shared" si="127"/>
      </c>
      <c r="X436" s="684"/>
      <c r="Y436" s="692"/>
      <c r="Z436" s="684"/>
    </row>
    <row r="437" spans="1:26" s="529" customFormat="1" ht="34.5" customHeight="1" thickBot="1">
      <c r="A437" s="544"/>
      <c r="B437" s="479"/>
      <c r="C437" s="479"/>
      <c r="D437" s="479"/>
      <c r="E437" s="479"/>
      <c r="F437" s="479"/>
      <c r="G437" s="479"/>
      <c r="H437" s="995"/>
      <c r="I437" s="446"/>
      <c r="J437" s="446"/>
      <c r="K437" s="446"/>
      <c r="L437" s="844"/>
      <c r="M437" s="811"/>
      <c r="N437" s="811"/>
      <c r="O437" s="446"/>
      <c r="P437" s="446"/>
      <c r="Q437" s="446"/>
      <c r="R437" s="446"/>
      <c r="S437" s="446"/>
      <c r="T437" s="844"/>
      <c r="U437" s="395"/>
      <c r="V437" s="630">
        <f t="shared" si="127"/>
      </c>
      <c r="X437" s="690"/>
      <c r="Y437" s="692"/>
      <c r="Z437" s="690"/>
    </row>
    <row r="438" spans="1:26" s="530" customFormat="1" ht="34.5" customHeight="1" thickBot="1">
      <c r="A438" s="1316" t="s">
        <v>221</v>
      </c>
      <c r="B438" s="1317"/>
      <c r="C438" s="1317"/>
      <c r="D438" s="1317"/>
      <c r="E438" s="1317"/>
      <c r="F438" s="1317"/>
      <c r="G438" s="1317"/>
      <c r="H438" s="1317"/>
      <c r="I438" s="1317"/>
      <c r="J438" s="1317"/>
      <c r="K438" s="1317"/>
      <c r="L438" s="1317"/>
      <c r="M438" s="1317"/>
      <c r="N438" s="1317"/>
      <c r="O438" s="1317"/>
      <c r="P438" s="1317"/>
      <c r="Q438" s="1317"/>
      <c r="R438" s="1317"/>
      <c r="S438" s="1317"/>
      <c r="T438" s="1317"/>
      <c r="V438" s="630">
        <f t="shared" si="127"/>
      </c>
      <c r="X438" s="689"/>
      <c r="Y438" s="689"/>
      <c r="Z438" s="689"/>
    </row>
    <row r="439" spans="1:26" s="481" customFormat="1" ht="57" customHeight="1">
      <c r="A439" s="545" t="str">
        <f>A5</f>
        <v>Missione</v>
      </c>
      <c r="B439" s="447" t="str">
        <f>B5</f>
        <v>Programma</v>
      </c>
      <c r="C439" s="447" t="str">
        <f>C5</f>
        <v>Titolo</v>
      </c>
      <c r="D439" s="447" t="str">
        <f>D5</f>
        <v>Capitolo</v>
      </c>
      <c r="E439" s="546"/>
      <c r="F439" s="447" t="str">
        <f aca="true" t="shared" si="139" ref="F439:N439">F5</f>
        <v>Piano dei conti</v>
      </c>
      <c r="G439" s="422" t="str">
        <f t="shared" si="139"/>
        <v>DESCRIZIONE</v>
      </c>
      <c r="H439" s="447" t="str">
        <f t="shared" si="139"/>
        <v>RESIDUI PRESUNTI AL 17.01.2023</v>
      </c>
      <c r="I439" s="447" t="str">
        <f t="shared" si="139"/>
        <v>PREVISIONE INIZIALE 2022</v>
      </c>
      <c r="J439" s="447" t="str">
        <f t="shared" si="139"/>
        <v>IMPEGNI AL 17.01.2023</v>
      </c>
      <c r="K439" s="447" t="str">
        <f t="shared" si="139"/>
        <v>DIFFERENZA TRA ASSESTATO E IMPEGNATO</v>
      </c>
      <c r="L439" s="595" t="str">
        <f t="shared" si="139"/>
        <v>PREVISIONE 2022 ASSESTATA AL 17.01.2023</v>
      </c>
      <c r="M439" s="595" t="str">
        <f t="shared" si="139"/>
        <v>PREVISIONE 2022                    (solo FPV)</v>
      </c>
      <c r="N439" s="595" t="str">
        <f t="shared" si="139"/>
        <v>PREVISIONE 2023</v>
      </c>
      <c r="O439" s="447"/>
      <c r="P439" s="447" t="str">
        <f>P5</f>
        <v>PREVISIONE 2024</v>
      </c>
      <c r="Q439" s="447"/>
      <c r="R439" s="447" t="str">
        <f>R5</f>
        <v>PREVISIONE 2025</v>
      </c>
      <c r="S439" s="423"/>
      <c r="T439" s="652" t="str">
        <f>T5</f>
        <v>PEVISIONE DI CASSA 2023</v>
      </c>
      <c r="V439" s="630"/>
      <c r="X439" s="685"/>
      <c r="Y439" s="685"/>
      <c r="Z439" s="685"/>
    </row>
    <row r="440" spans="1:26" s="548" customFormat="1" ht="34.5" customHeight="1">
      <c r="A440" s="997">
        <v>1</v>
      </c>
      <c r="B440" s="740">
        <v>11</v>
      </c>
      <c r="C440" s="758">
        <v>3</v>
      </c>
      <c r="D440" s="1100">
        <v>3005</v>
      </c>
      <c r="E440" s="484"/>
      <c r="F440" s="452" t="s">
        <v>868</v>
      </c>
      <c r="G440" s="536" t="s">
        <v>4</v>
      </c>
      <c r="H440" s="442"/>
      <c r="I440" s="442"/>
      <c r="J440" s="442"/>
      <c r="K440" s="442"/>
      <c r="L440" s="596">
        <v>150000</v>
      </c>
      <c r="M440" s="596"/>
      <c r="N440" s="596"/>
      <c r="O440" s="442"/>
      <c r="P440" s="442"/>
      <c r="Q440" s="442"/>
      <c r="R440" s="442"/>
      <c r="S440" s="443"/>
      <c r="T440" s="680">
        <f>H440+N440</f>
        <v>0</v>
      </c>
      <c r="V440" s="630">
        <f t="shared" si="127"/>
      </c>
      <c r="X440" s="691"/>
      <c r="Y440" s="691"/>
      <c r="Z440" s="691"/>
    </row>
    <row r="441" spans="1:26" s="548" customFormat="1" ht="34.5" customHeight="1">
      <c r="A441" s="547"/>
      <c r="B441" s="452"/>
      <c r="C441" s="452"/>
      <c r="D441" s="452"/>
      <c r="E441" s="484"/>
      <c r="F441" s="452"/>
      <c r="G441" s="536"/>
      <c r="H441" s="496"/>
      <c r="I441" s="496"/>
      <c r="J441" s="496"/>
      <c r="K441" s="496"/>
      <c r="L441" s="575"/>
      <c r="M441" s="575"/>
      <c r="N441" s="575"/>
      <c r="O441" s="496"/>
      <c r="P441" s="496"/>
      <c r="Q441" s="496"/>
      <c r="R441" s="496"/>
      <c r="S441" s="535"/>
      <c r="T441" s="638">
        <f>H441+N441</f>
        <v>0</v>
      </c>
      <c r="V441" s="630">
        <f t="shared" si="127"/>
      </c>
      <c r="X441" s="691"/>
      <c r="Y441" s="691"/>
      <c r="Z441" s="691"/>
    </row>
    <row r="442" spans="1:26" s="548" customFormat="1" ht="34.5" customHeight="1">
      <c r="A442" s="547"/>
      <c r="B442" s="452"/>
      <c r="C442" s="452"/>
      <c r="D442" s="452"/>
      <c r="E442" s="484"/>
      <c r="F442" s="452"/>
      <c r="G442" s="536"/>
      <c r="H442" s="496"/>
      <c r="I442" s="496"/>
      <c r="J442" s="496"/>
      <c r="K442" s="496"/>
      <c r="L442" s="575"/>
      <c r="M442" s="575"/>
      <c r="N442" s="575"/>
      <c r="O442" s="496"/>
      <c r="P442" s="496"/>
      <c r="Q442" s="496"/>
      <c r="R442" s="496"/>
      <c r="S442" s="535"/>
      <c r="T442" s="638">
        <f>H442+N442</f>
        <v>0</v>
      </c>
      <c r="V442" s="630">
        <f t="shared" si="127"/>
      </c>
      <c r="X442" s="691"/>
      <c r="Y442" s="691"/>
      <c r="Z442" s="691"/>
    </row>
    <row r="443" spans="1:26" s="548" customFormat="1" ht="34.5" customHeight="1">
      <c r="A443" s="547"/>
      <c r="B443" s="452"/>
      <c r="C443" s="452"/>
      <c r="D443" s="452"/>
      <c r="E443" s="484"/>
      <c r="F443" s="452"/>
      <c r="G443" s="536"/>
      <c r="H443" s="496"/>
      <c r="I443" s="496"/>
      <c r="J443" s="496"/>
      <c r="K443" s="496"/>
      <c r="L443" s="575"/>
      <c r="M443" s="575"/>
      <c r="N443" s="575"/>
      <c r="O443" s="496"/>
      <c r="P443" s="496"/>
      <c r="Q443" s="496"/>
      <c r="R443" s="496"/>
      <c r="S443" s="535"/>
      <c r="T443" s="638">
        <f>H443+N443</f>
        <v>0</v>
      </c>
      <c r="V443" s="630">
        <f t="shared" si="127"/>
      </c>
      <c r="X443" s="691"/>
      <c r="Y443" s="691"/>
      <c r="Z443" s="691"/>
    </row>
    <row r="444" spans="1:26" s="548" customFormat="1" ht="34.5" customHeight="1">
      <c r="A444" s="549"/>
      <c r="B444" s="550"/>
      <c r="C444" s="550"/>
      <c r="D444" s="550"/>
      <c r="E444" s="551"/>
      <c r="F444" s="550"/>
      <c r="G444" s="552"/>
      <c r="H444" s="442"/>
      <c r="I444" s="442"/>
      <c r="J444" s="442"/>
      <c r="K444" s="442"/>
      <c r="L444" s="596"/>
      <c r="M444" s="596"/>
      <c r="N444" s="596"/>
      <c r="O444" s="442"/>
      <c r="P444" s="442"/>
      <c r="Q444" s="442"/>
      <c r="R444" s="442"/>
      <c r="S444" s="443"/>
      <c r="T444" s="680">
        <f>H444+N444</f>
        <v>0</v>
      </c>
      <c r="V444" s="630">
        <f t="shared" si="127"/>
      </c>
      <c r="X444" s="691"/>
      <c r="Y444" s="691"/>
      <c r="Z444" s="691"/>
    </row>
    <row r="445" spans="1:26" s="395" customFormat="1" ht="30.75" customHeight="1" thickBot="1">
      <c r="A445" s="1305" t="s">
        <v>222</v>
      </c>
      <c r="B445" s="1306"/>
      <c r="C445" s="1306"/>
      <c r="D445" s="1306"/>
      <c r="E445" s="1306"/>
      <c r="F445" s="1306"/>
      <c r="G445" s="1306"/>
      <c r="H445" s="821">
        <f aca="true" t="shared" si="140" ref="H445:R445">SUM(H440:H444)</f>
        <v>0</v>
      </c>
      <c r="I445" s="821">
        <f t="shared" si="140"/>
        <v>0</v>
      </c>
      <c r="J445" s="821">
        <f t="shared" si="140"/>
        <v>0</v>
      </c>
      <c r="K445" s="821">
        <f t="shared" si="140"/>
        <v>0</v>
      </c>
      <c r="L445" s="821">
        <f t="shared" si="140"/>
        <v>150000</v>
      </c>
      <c r="M445" s="821">
        <f t="shared" si="140"/>
        <v>0</v>
      </c>
      <c r="N445" s="821">
        <f t="shared" si="140"/>
        <v>0</v>
      </c>
      <c r="O445" s="821"/>
      <c r="P445" s="821">
        <f t="shared" si="140"/>
        <v>0</v>
      </c>
      <c r="Q445" s="821">
        <f t="shared" si="140"/>
        <v>0</v>
      </c>
      <c r="R445" s="821">
        <f t="shared" si="140"/>
        <v>0</v>
      </c>
      <c r="S445" s="821"/>
      <c r="T445" s="823">
        <f>SUM(T440:T444)</f>
        <v>0</v>
      </c>
      <c r="V445" s="630">
        <f t="shared" si="127"/>
      </c>
      <c r="X445" s="661"/>
      <c r="Y445" s="661"/>
      <c r="Z445" s="661"/>
    </row>
    <row r="446" spans="1:26" s="529" customFormat="1" ht="34.5" customHeight="1" thickBot="1">
      <c r="A446" s="553"/>
      <c r="B446" s="554"/>
      <c r="C446" s="554"/>
      <c r="D446" s="554"/>
      <c r="E446" s="554"/>
      <c r="F446" s="554"/>
      <c r="G446" s="554"/>
      <c r="H446" s="555"/>
      <c r="I446" s="555"/>
      <c r="J446" s="555"/>
      <c r="K446" s="555"/>
      <c r="L446" s="597"/>
      <c r="M446" s="597"/>
      <c r="N446" s="597"/>
      <c r="O446" s="555"/>
      <c r="P446" s="555"/>
      <c r="Q446" s="555"/>
      <c r="R446" s="555"/>
      <c r="S446" s="555"/>
      <c r="T446" s="597"/>
      <c r="U446" s="395"/>
      <c r="V446" s="630">
        <f t="shared" si="127"/>
      </c>
      <c r="X446" s="692"/>
      <c r="Y446" s="692"/>
      <c r="Z446" s="692"/>
    </row>
    <row r="447" spans="1:26" s="530" customFormat="1" ht="34.5" customHeight="1" thickBot="1">
      <c r="A447" s="1316" t="s">
        <v>365</v>
      </c>
      <c r="B447" s="1317"/>
      <c r="C447" s="1317"/>
      <c r="D447" s="1317"/>
      <c r="E447" s="1317"/>
      <c r="F447" s="1317"/>
      <c r="G447" s="1317"/>
      <c r="H447" s="1317"/>
      <c r="I447" s="1317"/>
      <c r="J447" s="1317"/>
      <c r="K447" s="1317"/>
      <c r="L447" s="1317"/>
      <c r="M447" s="1317"/>
      <c r="N447" s="1317"/>
      <c r="O447" s="1317"/>
      <c r="P447" s="1317"/>
      <c r="Q447" s="1317"/>
      <c r="R447" s="1317"/>
      <c r="S447" s="1317"/>
      <c r="T447" s="1317"/>
      <c r="V447" s="630">
        <f t="shared" si="127"/>
      </c>
      <c r="X447" s="689"/>
      <c r="Y447" s="689"/>
      <c r="Z447" s="689"/>
    </row>
    <row r="448" spans="1:26" s="481" customFormat="1" ht="66.75" customHeight="1">
      <c r="A448" s="373" t="str">
        <f>A5</f>
        <v>Missione</v>
      </c>
      <c r="B448" s="374" t="str">
        <f>B5</f>
        <v>Programma</v>
      </c>
      <c r="C448" s="374" t="str">
        <f>C5</f>
        <v>Titolo</v>
      </c>
      <c r="D448" s="374" t="str">
        <f>D5</f>
        <v>Capitolo</v>
      </c>
      <c r="E448" s="556"/>
      <c r="F448" s="375" t="s">
        <v>431</v>
      </c>
      <c r="G448" s="374" t="s">
        <v>133</v>
      </c>
      <c r="H448" s="374" t="str">
        <f aca="true" t="shared" si="141" ref="H448:O448">H5</f>
        <v>RESIDUI PRESUNTI AL 17.01.2023</v>
      </c>
      <c r="I448" s="374" t="str">
        <f t="shared" si="141"/>
        <v>PREVISIONE INIZIALE 2022</v>
      </c>
      <c r="J448" s="374" t="str">
        <f t="shared" si="141"/>
        <v>IMPEGNI AL 17.01.2023</v>
      </c>
      <c r="K448" s="374" t="str">
        <f t="shared" si="141"/>
        <v>DIFFERENZA TRA ASSESTATO E IMPEGNATO</v>
      </c>
      <c r="L448" s="591" t="str">
        <f t="shared" si="141"/>
        <v>PREVISIONE 2022 ASSESTATA AL 17.01.2023</v>
      </c>
      <c r="M448" s="591" t="str">
        <f t="shared" si="141"/>
        <v>PREVISIONE 2022                    (solo FPV)</v>
      </c>
      <c r="N448" s="591" t="str">
        <f t="shared" si="141"/>
        <v>PREVISIONE 2023</v>
      </c>
      <c r="O448" s="1228" t="str">
        <f t="shared" si="141"/>
        <v>DIFFERENZE TRA PREVISIONI 2023 E PREVISIONI INIZIALI 2022</v>
      </c>
      <c r="P448" s="374" t="str">
        <f>P5</f>
        <v>PREVISIONE 2024</v>
      </c>
      <c r="Q448" s="374"/>
      <c r="R448" s="374" t="str">
        <f>R5</f>
        <v>PREVISIONE 2025</v>
      </c>
      <c r="S448" s="376"/>
      <c r="T448" s="652" t="str">
        <f>T5</f>
        <v>PEVISIONE DI CASSA 2023</v>
      </c>
      <c r="V448" s="630"/>
      <c r="X448" s="685"/>
      <c r="Y448" s="685"/>
      <c r="Z448" s="685"/>
    </row>
    <row r="449" spans="1:26" s="478" customFormat="1" ht="27.75" customHeight="1">
      <c r="A449" s="547">
        <v>50</v>
      </c>
      <c r="B449" s="452">
        <v>2</v>
      </c>
      <c r="C449" s="484">
        <v>4</v>
      </c>
      <c r="D449" s="1111">
        <v>3030</v>
      </c>
      <c r="E449" s="484"/>
      <c r="F449" s="452" t="s">
        <v>189</v>
      </c>
      <c r="G449" s="485" t="s">
        <v>331</v>
      </c>
      <c r="H449" s="486"/>
      <c r="I449" s="486">
        <v>135515</v>
      </c>
      <c r="J449" s="486">
        <v>135506.18</v>
      </c>
      <c r="K449" s="486"/>
      <c r="L449" s="951">
        <v>135515</v>
      </c>
      <c r="M449" s="736"/>
      <c r="N449" s="579">
        <f>84260+35280</f>
        <v>119540</v>
      </c>
      <c r="O449" s="738">
        <f>N449-I449</f>
        <v>-15975</v>
      </c>
      <c r="P449" s="1067">
        <f>87710+35180+5945</f>
        <v>128835</v>
      </c>
      <c r="Q449" s="1146"/>
      <c r="R449" s="834">
        <f>91325+6125</f>
        <v>97450</v>
      </c>
      <c r="S449" s="489"/>
      <c r="T449" s="635">
        <f>H449+N449</f>
        <v>119540</v>
      </c>
      <c r="V449" s="630">
        <f t="shared" si="127"/>
      </c>
      <c r="X449" s="617"/>
      <c r="Y449" s="617"/>
      <c r="Z449" s="617"/>
    </row>
    <row r="450" spans="1:26" s="478" customFormat="1" ht="27.75" customHeight="1">
      <c r="A450" s="1122">
        <v>50</v>
      </c>
      <c r="B450" s="439">
        <v>2</v>
      </c>
      <c r="C450" s="438">
        <v>4</v>
      </c>
      <c r="D450" s="1111">
        <v>3040</v>
      </c>
      <c r="E450" s="438"/>
      <c r="F450" s="439" t="s">
        <v>189</v>
      </c>
      <c r="G450" s="509" t="s">
        <v>331</v>
      </c>
      <c r="H450" s="505"/>
      <c r="I450" s="505"/>
      <c r="J450" s="505"/>
      <c r="K450" s="505"/>
      <c r="L450" s="598"/>
      <c r="M450" s="598"/>
      <c r="N450" s="598"/>
      <c r="O450" s="506"/>
      <c r="P450" s="506"/>
      <c r="Q450" s="511"/>
      <c r="R450" s="511"/>
      <c r="S450" s="506"/>
      <c r="T450" s="641"/>
      <c r="V450" s="630">
        <f t="shared" si="127"/>
      </c>
      <c r="X450" s="617"/>
      <c r="Y450" s="617"/>
      <c r="Z450" s="617"/>
    </row>
    <row r="451" spans="1:26" s="478" customFormat="1" ht="27.75" customHeight="1" thickBot="1">
      <c r="A451" s="1320" t="s">
        <v>361</v>
      </c>
      <c r="B451" s="1321"/>
      <c r="C451" s="1321"/>
      <c r="D451" s="1321"/>
      <c r="E451" s="1321"/>
      <c r="F451" s="1321"/>
      <c r="G451" s="1321"/>
      <c r="H451" s="557">
        <f aca="true" t="shared" si="142" ref="H451:T451">SUM(H449:H450)</f>
        <v>0</v>
      </c>
      <c r="I451" s="557">
        <f t="shared" si="142"/>
        <v>135515</v>
      </c>
      <c r="J451" s="557">
        <f t="shared" si="142"/>
        <v>135506.18</v>
      </c>
      <c r="K451" s="557">
        <f t="shared" si="142"/>
        <v>0</v>
      </c>
      <c r="L451" s="599">
        <f t="shared" si="142"/>
        <v>135515</v>
      </c>
      <c r="M451" s="599">
        <f t="shared" si="142"/>
        <v>0</v>
      </c>
      <c r="N451" s="599">
        <f t="shared" si="142"/>
        <v>119540</v>
      </c>
      <c r="O451" s="557"/>
      <c r="P451" s="557">
        <f t="shared" si="142"/>
        <v>128835</v>
      </c>
      <c r="Q451" s="557"/>
      <c r="R451" s="558">
        <f t="shared" si="142"/>
        <v>97450</v>
      </c>
      <c r="S451" s="559"/>
      <c r="T451" s="681">
        <f t="shared" si="142"/>
        <v>119540</v>
      </c>
      <c r="V451" s="630">
        <f t="shared" si="127"/>
      </c>
      <c r="X451" s="617"/>
      <c r="Y451" s="617"/>
      <c r="Z451" s="617"/>
    </row>
    <row r="452" spans="1:26" s="482" customFormat="1" ht="31.5" customHeight="1" thickBot="1">
      <c r="A452" s="1314" t="s">
        <v>366</v>
      </c>
      <c r="B452" s="1315"/>
      <c r="C452" s="1315"/>
      <c r="D452" s="1315"/>
      <c r="E452" s="1315"/>
      <c r="F452" s="1315"/>
      <c r="G452" s="1315"/>
      <c r="H452" s="816">
        <f aca="true" t="shared" si="143" ref="H452:T452">SUM(H449:H450)</f>
        <v>0</v>
      </c>
      <c r="I452" s="816">
        <f t="shared" si="143"/>
        <v>135515</v>
      </c>
      <c r="J452" s="816">
        <f t="shared" si="143"/>
        <v>135506.18</v>
      </c>
      <c r="K452" s="816">
        <f t="shared" si="143"/>
        <v>0</v>
      </c>
      <c r="L452" s="816">
        <f t="shared" si="143"/>
        <v>135515</v>
      </c>
      <c r="M452" s="816">
        <f t="shared" si="143"/>
        <v>0</v>
      </c>
      <c r="N452" s="816">
        <f t="shared" si="143"/>
        <v>119540</v>
      </c>
      <c r="O452" s="816">
        <f t="shared" si="143"/>
        <v>-15975</v>
      </c>
      <c r="P452" s="816">
        <f t="shared" si="143"/>
        <v>128835</v>
      </c>
      <c r="Q452" s="816"/>
      <c r="R452" s="817">
        <f t="shared" si="143"/>
        <v>97450</v>
      </c>
      <c r="S452" s="818"/>
      <c r="T452" s="820">
        <f t="shared" si="143"/>
        <v>119540</v>
      </c>
      <c r="V452" s="630">
        <f t="shared" si="127"/>
      </c>
      <c r="X452" s="687"/>
      <c r="Y452" s="686"/>
      <c r="Z452" s="686"/>
    </row>
    <row r="453" spans="1:26" s="482" customFormat="1" ht="36.75" customHeight="1" thickBot="1">
      <c r="A453" s="1309" t="s">
        <v>75</v>
      </c>
      <c r="B453" s="1310"/>
      <c r="C453" s="1310"/>
      <c r="D453" s="1310"/>
      <c r="E453" s="1310"/>
      <c r="F453" s="1310"/>
      <c r="G453" s="1310"/>
      <c r="H453" s="1310"/>
      <c r="I453" s="1310"/>
      <c r="J453" s="1310"/>
      <c r="K453" s="1310"/>
      <c r="L453" s="1310"/>
      <c r="M453" s="1310"/>
      <c r="N453" s="1310"/>
      <c r="O453" s="1310"/>
      <c r="P453" s="1310"/>
      <c r="Q453" s="1310"/>
      <c r="R453" s="1310"/>
      <c r="S453" s="1310"/>
      <c r="T453" s="1310"/>
      <c r="V453" s="630">
        <f t="shared" si="127"/>
      </c>
      <c r="X453" s="686"/>
      <c r="Y453" s="686"/>
      <c r="Z453" s="686"/>
    </row>
    <row r="454" spans="1:26" s="481" customFormat="1" ht="60" customHeight="1">
      <c r="A454" s="545" t="str">
        <f>A5</f>
        <v>Missione</v>
      </c>
      <c r="B454" s="447" t="str">
        <f>B5</f>
        <v>Programma</v>
      </c>
      <c r="C454" s="447" t="str">
        <f>C5</f>
        <v>Titolo</v>
      </c>
      <c r="D454" s="447" t="str">
        <f>D5</f>
        <v>Capitolo</v>
      </c>
      <c r="E454" s="546"/>
      <c r="F454" s="560" t="s">
        <v>431</v>
      </c>
      <c r="G454" s="423" t="str">
        <f aca="true" t="shared" si="144" ref="G454:N454">G5</f>
        <v>DESCRIZIONE</v>
      </c>
      <c r="H454" s="447" t="str">
        <f t="shared" si="144"/>
        <v>RESIDUI PRESUNTI AL 17.01.2023</v>
      </c>
      <c r="I454" s="447" t="str">
        <f t="shared" si="144"/>
        <v>PREVISIONE INIZIALE 2022</v>
      </c>
      <c r="J454" s="447" t="str">
        <f t="shared" si="144"/>
        <v>IMPEGNI AL 17.01.2023</v>
      </c>
      <c r="K454" s="447" t="str">
        <f t="shared" si="144"/>
        <v>DIFFERENZA TRA ASSESTATO E IMPEGNATO</v>
      </c>
      <c r="L454" s="595" t="str">
        <f t="shared" si="144"/>
        <v>PREVISIONE 2022 ASSESTATA AL 17.01.2023</v>
      </c>
      <c r="M454" s="595" t="str">
        <f t="shared" si="144"/>
        <v>PREVISIONE 2022                    (solo FPV)</v>
      </c>
      <c r="N454" s="595" t="str">
        <f t="shared" si="144"/>
        <v>PREVISIONE 2023</v>
      </c>
      <c r="O454" s="447"/>
      <c r="P454" s="447" t="str">
        <f>P5</f>
        <v>PREVISIONE 2024</v>
      </c>
      <c r="Q454" s="447"/>
      <c r="R454" s="447" t="str">
        <f>R5</f>
        <v>PREVISIONE 2025</v>
      </c>
      <c r="S454" s="423"/>
      <c r="T454" s="652" t="str">
        <f>T5</f>
        <v>PEVISIONE DI CASSA 2023</v>
      </c>
      <c r="V454" s="630"/>
      <c r="X454" s="685"/>
      <c r="Y454" s="685"/>
      <c r="Z454" s="685"/>
    </row>
    <row r="455" spans="1:26" s="478" customFormat="1" ht="27.75" customHeight="1">
      <c r="A455" s="414">
        <v>60</v>
      </c>
      <c r="B455" s="438">
        <v>1</v>
      </c>
      <c r="C455" s="438">
        <v>5</v>
      </c>
      <c r="D455" s="1137">
        <v>3010</v>
      </c>
      <c r="E455" s="438"/>
      <c r="F455" s="439" t="s">
        <v>83</v>
      </c>
      <c r="G455" s="509" t="s">
        <v>464</v>
      </c>
      <c r="H455" s="521">
        <v>0</v>
      </c>
      <c r="I455" s="521"/>
      <c r="J455" s="521">
        <v>0</v>
      </c>
      <c r="K455" s="521"/>
      <c r="L455" s="588">
        <f>ENTRATA!J190</f>
        <v>900000</v>
      </c>
      <c r="M455" s="588"/>
      <c r="N455" s="588">
        <f>ENTRATA!K190</f>
        <v>900000</v>
      </c>
      <c r="O455" s="739"/>
      <c r="P455" s="739">
        <f>ENTRATA!M190</f>
        <v>900000</v>
      </c>
      <c r="Q455" s="749"/>
      <c r="R455" s="749">
        <f>ENTRATA!N190</f>
        <v>900000</v>
      </c>
      <c r="S455" s="528"/>
      <c r="T455" s="675">
        <v>900000</v>
      </c>
      <c r="V455" s="630">
        <f t="shared" si="127"/>
      </c>
      <c r="X455" s="617"/>
      <c r="Y455" s="617"/>
      <c r="Z455" s="617"/>
    </row>
    <row r="456" spans="1:26" s="478" customFormat="1" ht="27.75" customHeight="1">
      <c r="A456" s="1311" t="s">
        <v>360</v>
      </c>
      <c r="B456" s="1312"/>
      <c r="C456" s="1312"/>
      <c r="D456" s="1312"/>
      <c r="E456" s="1312"/>
      <c r="F456" s="1312"/>
      <c r="G456" s="1313"/>
      <c r="H456" s="512">
        <f>SUM(H455)</f>
        <v>0</v>
      </c>
      <c r="I456" s="512">
        <f>SUM(I455)</f>
        <v>0</v>
      </c>
      <c r="J456" s="512">
        <f>SUM(J455)</f>
        <v>0</v>
      </c>
      <c r="K456" s="512">
        <f>SUM(K455)</f>
        <v>0</v>
      </c>
      <c r="L456" s="580">
        <f>SUM(L455)</f>
        <v>900000</v>
      </c>
      <c r="M456" s="580"/>
      <c r="N456" s="580">
        <f>SUM(N455)</f>
        <v>900000</v>
      </c>
      <c r="O456" s="517"/>
      <c r="P456" s="517">
        <f>SUM(P455)</f>
        <v>900000</v>
      </c>
      <c r="Q456" s="517"/>
      <c r="R456" s="517">
        <f>SUM(R455)</f>
        <v>900000</v>
      </c>
      <c r="S456" s="517"/>
      <c r="T456" s="613">
        <f>SUM(T455)</f>
        <v>900000</v>
      </c>
      <c r="V456" s="630">
        <f aca="true" t="shared" si="145" ref="V456:V474">IF(T456&gt;(H456+N456),"ERRORE","")</f>
      </c>
      <c r="X456" s="617"/>
      <c r="Y456" s="617"/>
      <c r="Z456" s="617"/>
    </row>
    <row r="457" spans="1:26" s="561" customFormat="1" ht="42" customHeight="1" thickBot="1">
      <c r="A457" s="1307" t="s">
        <v>76</v>
      </c>
      <c r="B457" s="1308"/>
      <c r="C457" s="1308"/>
      <c r="D457" s="1308"/>
      <c r="E457" s="1308"/>
      <c r="F457" s="1308"/>
      <c r="G457" s="1308"/>
      <c r="H457" s="821">
        <f aca="true" t="shared" si="146" ref="H457:T457">SUM(H455)</f>
        <v>0</v>
      </c>
      <c r="I457" s="821">
        <f t="shared" si="146"/>
        <v>0</v>
      </c>
      <c r="J457" s="821">
        <f t="shared" si="146"/>
        <v>0</v>
      </c>
      <c r="K457" s="821">
        <f t="shared" si="146"/>
        <v>0</v>
      </c>
      <c r="L457" s="821">
        <f t="shared" si="146"/>
        <v>900000</v>
      </c>
      <c r="M457" s="821"/>
      <c r="N457" s="821">
        <f t="shared" si="146"/>
        <v>900000</v>
      </c>
      <c r="O457" s="822"/>
      <c r="P457" s="822">
        <f t="shared" si="146"/>
        <v>900000</v>
      </c>
      <c r="Q457" s="822"/>
      <c r="R457" s="822">
        <f>SUM(R456)</f>
        <v>900000</v>
      </c>
      <c r="S457" s="822"/>
      <c r="T457" s="823">
        <f t="shared" si="146"/>
        <v>900000</v>
      </c>
      <c r="V457" s="630">
        <f t="shared" si="145"/>
      </c>
      <c r="X457" s="687"/>
      <c r="Y457" s="696"/>
      <c r="Z457" s="696"/>
    </row>
    <row r="458" spans="1:26" s="562" customFormat="1" ht="34.5" customHeight="1" thickBot="1">
      <c r="A458" s="1265" t="s">
        <v>77</v>
      </c>
      <c r="B458" s="1266"/>
      <c r="C458" s="1266"/>
      <c r="D458" s="1266"/>
      <c r="E458" s="1266"/>
      <c r="F458" s="1266"/>
      <c r="G458" s="1266"/>
      <c r="H458" s="1266"/>
      <c r="I458" s="1266"/>
      <c r="J458" s="1266"/>
      <c r="K458" s="1266"/>
      <c r="L458" s="1266"/>
      <c r="M458" s="1266"/>
      <c r="N458" s="1266"/>
      <c r="O458" s="1266"/>
      <c r="P458" s="1266"/>
      <c r="Q458" s="1266"/>
      <c r="R458" s="1266"/>
      <c r="S458" s="1266"/>
      <c r="T458" s="1266"/>
      <c r="V458" s="630">
        <f t="shared" si="145"/>
      </c>
      <c r="X458" s="693"/>
      <c r="Y458" s="693"/>
      <c r="Z458" s="693"/>
    </row>
    <row r="459" spans="1:26" s="481" customFormat="1" ht="60.75" customHeight="1">
      <c r="A459" s="373" t="str">
        <f>A5</f>
        <v>Missione</v>
      </c>
      <c r="B459" s="374" t="str">
        <f>B5</f>
        <v>Programma</v>
      </c>
      <c r="C459" s="374" t="str">
        <f>C5</f>
        <v>Titolo</v>
      </c>
      <c r="D459" s="374" t="str">
        <f>D5</f>
        <v>Capitolo</v>
      </c>
      <c r="E459" s="374" t="str">
        <f>E5</f>
        <v>Codice PdC</v>
      </c>
      <c r="F459" s="375" t="s">
        <v>431</v>
      </c>
      <c r="G459" s="374" t="str">
        <f aca="true" t="shared" si="147" ref="G459:N459">G5</f>
        <v>DESCRIZIONE</v>
      </c>
      <c r="H459" s="374" t="str">
        <f t="shared" si="147"/>
        <v>RESIDUI PRESUNTI AL 17.01.2023</v>
      </c>
      <c r="I459" s="374" t="str">
        <f t="shared" si="147"/>
        <v>PREVISIONE INIZIALE 2022</v>
      </c>
      <c r="J459" s="374" t="str">
        <f t="shared" si="147"/>
        <v>IMPEGNI AL 17.01.2023</v>
      </c>
      <c r="K459" s="374" t="str">
        <f t="shared" si="147"/>
        <v>DIFFERENZA TRA ASSESTATO E IMPEGNATO</v>
      </c>
      <c r="L459" s="591" t="str">
        <f t="shared" si="147"/>
        <v>PREVISIONE 2022 ASSESTATA AL 17.01.2023</v>
      </c>
      <c r="M459" s="591" t="str">
        <f t="shared" si="147"/>
        <v>PREVISIONE 2022                    (solo FPV)</v>
      </c>
      <c r="N459" s="591" t="str">
        <f t="shared" si="147"/>
        <v>PREVISIONE 2023</v>
      </c>
      <c r="O459" s="374"/>
      <c r="P459" s="374" t="str">
        <f>P5</f>
        <v>PREVISIONE 2024</v>
      </c>
      <c r="Q459" s="374"/>
      <c r="R459" s="374" t="str">
        <f>R5</f>
        <v>PREVISIONE 2025</v>
      </c>
      <c r="S459" s="376"/>
      <c r="T459" s="652" t="str">
        <f>T5</f>
        <v>PEVISIONE DI CASSA 2023</v>
      </c>
      <c r="V459" s="630"/>
      <c r="X459" s="685"/>
      <c r="Y459" s="685"/>
      <c r="Z459" s="685"/>
    </row>
    <row r="460" spans="1:26" s="478" customFormat="1" ht="27.75" customHeight="1">
      <c r="A460" s="381">
        <v>99</v>
      </c>
      <c r="B460" s="484">
        <v>1</v>
      </c>
      <c r="C460" s="484">
        <v>7</v>
      </c>
      <c r="D460" s="1100">
        <v>4001</v>
      </c>
      <c r="E460" s="452">
        <v>701</v>
      </c>
      <c r="F460" s="452" t="s">
        <v>192</v>
      </c>
      <c r="G460" s="485" t="s">
        <v>201</v>
      </c>
      <c r="H460" s="579">
        <v>101872.31</v>
      </c>
      <c r="I460" s="579"/>
      <c r="J460" s="579">
        <v>150333.16</v>
      </c>
      <c r="K460" s="579"/>
      <c r="L460" s="575">
        <f>ENTRATA!J195</f>
        <v>150000</v>
      </c>
      <c r="M460" s="575"/>
      <c r="N460" s="575">
        <f>ENTRATA!K195</f>
        <v>150000</v>
      </c>
      <c r="O460" s="575"/>
      <c r="P460" s="575">
        <f>ENTRATA!M195</f>
        <v>150000</v>
      </c>
      <c r="Q460" s="575"/>
      <c r="R460" s="575">
        <f>ENTRATA!N195</f>
        <v>150000</v>
      </c>
      <c r="S460" s="637"/>
      <c r="T460" s="638">
        <f aca="true" t="shared" si="148" ref="T460:T470">H460+N460</f>
        <v>251872.31</v>
      </c>
      <c r="V460" s="630">
        <f t="shared" si="145"/>
      </c>
      <c r="X460" s="617"/>
      <c r="Y460" s="617"/>
      <c r="Z460" s="617"/>
    </row>
    <row r="461" spans="1:26" s="478" customFormat="1" ht="27.75" customHeight="1">
      <c r="A461" s="381">
        <v>99</v>
      </c>
      <c r="B461" s="484">
        <v>1</v>
      </c>
      <c r="C461" s="484">
        <v>7</v>
      </c>
      <c r="D461" s="1102" t="s">
        <v>426</v>
      </c>
      <c r="E461" s="452">
        <v>701</v>
      </c>
      <c r="F461" s="452" t="s">
        <v>191</v>
      </c>
      <c r="G461" s="500" t="s">
        <v>196</v>
      </c>
      <c r="H461" s="575">
        <v>3647.13</v>
      </c>
      <c r="I461" s="575"/>
      <c r="J461" s="575">
        <v>12510.41</v>
      </c>
      <c r="K461" s="575"/>
      <c r="L461" s="575">
        <f>ENTRATA!J196</f>
        <v>100000</v>
      </c>
      <c r="M461" s="575"/>
      <c r="N461" s="575">
        <f>ENTRATA!K196</f>
        <v>100000</v>
      </c>
      <c r="O461" s="636"/>
      <c r="P461" s="636">
        <f>ENTRATA!M196</f>
        <v>100000</v>
      </c>
      <c r="Q461" s="636"/>
      <c r="R461" s="575">
        <f>ENTRATA!N196</f>
        <v>100000</v>
      </c>
      <c r="S461" s="637"/>
      <c r="T461" s="638">
        <f t="shared" si="148"/>
        <v>103647.13</v>
      </c>
      <c r="V461" s="630">
        <f t="shared" si="145"/>
      </c>
      <c r="X461" s="617"/>
      <c r="Y461" s="617"/>
      <c r="Z461" s="617"/>
    </row>
    <row r="462" spans="1:26" s="478" customFormat="1" ht="27.75" customHeight="1">
      <c r="A462" s="381">
        <v>99</v>
      </c>
      <c r="B462" s="484">
        <v>1</v>
      </c>
      <c r="C462" s="484">
        <v>7</v>
      </c>
      <c r="D462" s="1102">
        <v>4003</v>
      </c>
      <c r="E462" s="452">
        <v>701</v>
      </c>
      <c r="F462" s="452" t="s">
        <v>197</v>
      </c>
      <c r="G462" s="492" t="s">
        <v>202</v>
      </c>
      <c r="H462" s="576">
        <v>480.77</v>
      </c>
      <c r="I462" s="576"/>
      <c r="J462" s="576">
        <v>2800</v>
      </c>
      <c r="K462" s="576"/>
      <c r="L462" s="575">
        <f>ENTRATA!J197</f>
        <v>20000</v>
      </c>
      <c r="M462" s="575"/>
      <c r="N462" s="575">
        <f>ENTRATA!K197</f>
        <v>20000</v>
      </c>
      <c r="O462" s="636"/>
      <c r="P462" s="636">
        <f>ENTRATA!M197</f>
        <v>20000</v>
      </c>
      <c r="Q462" s="636"/>
      <c r="R462" s="575">
        <f>ENTRATA!N197</f>
        <v>20000</v>
      </c>
      <c r="S462" s="637"/>
      <c r="T462" s="638">
        <f t="shared" si="148"/>
        <v>20480.77</v>
      </c>
      <c r="V462" s="630">
        <f t="shared" si="145"/>
      </c>
      <c r="X462" s="617"/>
      <c r="Y462" s="617"/>
      <c r="Z462" s="617"/>
    </row>
    <row r="463" spans="1:26" s="478" customFormat="1" ht="27.75" customHeight="1">
      <c r="A463" s="381">
        <v>99</v>
      </c>
      <c r="B463" s="484">
        <v>1</v>
      </c>
      <c r="C463" s="484">
        <v>7</v>
      </c>
      <c r="D463" s="1102">
        <v>4004</v>
      </c>
      <c r="E463" s="452">
        <v>702</v>
      </c>
      <c r="F463" s="452" t="s">
        <v>200</v>
      </c>
      <c r="G463" s="492" t="s">
        <v>203</v>
      </c>
      <c r="H463" s="576">
        <v>10447.14</v>
      </c>
      <c r="I463" s="576"/>
      <c r="J463" s="576">
        <v>0</v>
      </c>
      <c r="K463" s="576"/>
      <c r="L463" s="575">
        <f>ENTRATA!J204</f>
        <v>50000</v>
      </c>
      <c r="M463" s="575"/>
      <c r="N463" s="575">
        <f>ENTRATA!K204</f>
        <v>50000</v>
      </c>
      <c r="O463" s="636"/>
      <c r="P463" s="636">
        <f>ENTRATA!M204</f>
        <v>50000</v>
      </c>
      <c r="Q463" s="636"/>
      <c r="R463" s="575">
        <f>ENTRATA!N204</f>
        <v>50000</v>
      </c>
      <c r="S463" s="637"/>
      <c r="T463" s="638">
        <f t="shared" si="148"/>
        <v>60447.14</v>
      </c>
      <c r="V463" s="630">
        <f t="shared" si="145"/>
      </c>
      <c r="X463" s="617"/>
      <c r="Y463" s="617"/>
      <c r="Z463" s="617"/>
    </row>
    <row r="464" spans="1:26" s="478" customFormat="1" ht="27.75" customHeight="1">
      <c r="A464" s="381">
        <v>99</v>
      </c>
      <c r="B464" s="484">
        <v>1</v>
      </c>
      <c r="C464" s="484">
        <v>7</v>
      </c>
      <c r="D464" s="1102">
        <v>4005</v>
      </c>
      <c r="E464" s="452">
        <v>702</v>
      </c>
      <c r="F464" s="452" t="s">
        <v>199</v>
      </c>
      <c r="G464" s="492" t="s">
        <v>204</v>
      </c>
      <c r="H464" s="576">
        <v>82548.6</v>
      </c>
      <c r="I464" s="576"/>
      <c r="J464" s="576">
        <v>62309.43</v>
      </c>
      <c r="K464" s="576"/>
      <c r="L464" s="575">
        <f>ENTRATA!J205</f>
        <v>150000</v>
      </c>
      <c r="M464" s="575"/>
      <c r="N464" s="575">
        <f>ENTRATA!K205</f>
        <v>150000</v>
      </c>
      <c r="O464" s="636"/>
      <c r="P464" s="636">
        <f>ENTRATA!M205</f>
        <v>150000</v>
      </c>
      <c r="Q464" s="837"/>
      <c r="R464" s="587">
        <f>ENTRATA!N205</f>
        <v>150000</v>
      </c>
      <c r="S464" s="543"/>
      <c r="T464" s="638">
        <f t="shared" si="148"/>
        <v>232548.6</v>
      </c>
      <c r="V464" s="630">
        <f t="shared" si="145"/>
      </c>
      <c r="X464" s="617"/>
      <c r="Y464" s="617"/>
      <c r="Z464" s="617"/>
    </row>
    <row r="465" spans="1:26" s="478" customFormat="1" ht="27.75" customHeight="1">
      <c r="A465" s="381">
        <v>99</v>
      </c>
      <c r="B465" s="484">
        <v>1</v>
      </c>
      <c r="C465" s="484">
        <v>7</v>
      </c>
      <c r="D465" s="1102">
        <v>4006</v>
      </c>
      <c r="E465" s="452">
        <v>701</v>
      </c>
      <c r="F465" s="452" t="s">
        <v>198</v>
      </c>
      <c r="G465" s="500" t="s">
        <v>495</v>
      </c>
      <c r="H465" s="576">
        <v>0</v>
      </c>
      <c r="I465" s="576"/>
      <c r="J465" s="576">
        <v>0</v>
      </c>
      <c r="K465" s="576"/>
      <c r="L465" s="575">
        <f>ENTRATA!J198</f>
        <v>5200</v>
      </c>
      <c r="M465" s="575"/>
      <c r="N465" s="575">
        <f>ENTRATA!K198</f>
        <v>5200</v>
      </c>
      <c r="O465" s="636"/>
      <c r="P465" s="636">
        <f>ENTRATA!M198</f>
        <v>5200</v>
      </c>
      <c r="Q465" s="636"/>
      <c r="R465" s="575">
        <f>ENTRATA!N198</f>
        <v>5200</v>
      </c>
      <c r="S465" s="637"/>
      <c r="T465" s="638">
        <f t="shared" si="148"/>
        <v>5200</v>
      </c>
      <c r="V465" s="630">
        <f t="shared" si="145"/>
      </c>
      <c r="X465" s="617"/>
      <c r="Y465" s="617"/>
      <c r="Z465" s="617"/>
    </row>
    <row r="466" spans="1:26" s="478" customFormat="1" ht="27.75" customHeight="1">
      <c r="A466" s="386">
        <v>99</v>
      </c>
      <c r="B466" s="499">
        <v>1</v>
      </c>
      <c r="C466" s="499">
        <v>7</v>
      </c>
      <c r="D466" s="1103">
        <v>4007</v>
      </c>
      <c r="E466" s="502">
        <v>702</v>
      </c>
      <c r="F466" s="453" t="s">
        <v>200</v>
      </c>
      <c r="G466" s="515" t="s">
        <v>205</v>
      </c>
      <c r="H466" s="577">
        <v>500</v>
      </c>
      <c r="I466" s="577"/>
      <c r="J466" s="577">
        <v>0</v>
      </c>
      <c r="K466" s="577"/>
      <c r="L466" s="575">
        <f>ENTRATA!J206</f>
        <v>20000</v>
      </c>
      <c r="M466" s="575"/>
      <c r="N466" s="575">
        <f>ENTRATA!K206</f>
        <v>20000</v>
      </c>
      <c r="O466" s="636"/>
      <c r="P466" s="636">
        <f>ENTRATA!M206</f>
        <v>20000</v>
      </c>
      <c r="Q466" s="636"/>
      <c r="R466" s="575">
        <f>ENTRATA!N206</f>
        <v>20000</v>
      </c>
      <c r="S466" s="637"/>
      <c r="T466" s="638">
        <f t="shared" si="148"/>
        <v>20500</v>
      </c>
      <c r="V466" s="630">
        <f t="shared" si="145"/>
      </c>
      <c r="X466" s="617"/>
      <c r="Y466" s="617"/>
      <c r="Z466" s="617"/>
    </row>
    <row r="467" spans="1:26" s="478" customFormat="1" ht="27.75" customHeight="1">
      <c r="A467" s="381">
        <v>99</v>
      </c>
      <c r="B467" s="484">
        <v>1</v>
      </c>
      <c r="C467" s="484">
        <v>7</v>
      </c>
      <c r="D467" s="1102">
        <v>4009</v>
      </c>
      <c r="E467" s="452">
        <v>701</v>
      </c>
      <c r="F467" s="452" t="s">
        <v>89</v>
      </c>
      <c r="G467" s="500" t="s">
        <v>193</v>
      </c>
      <c r="H467" s="575">
        <v>0</v>
      </c>
      <c r="I467" s="575"/>
      <c r="J467" s="575">
        <v>0</v>
      </c>
      <c r="K467" s="575"/>
      <c r="L467" s="575">
        <f>ENTRATA!J199</f>
        <v>10000</v>
      </c>
      <c r="M467" s="575"/>
      <c r="N467" s="575">
        <f>ENTRATA!K199</f>
        <v>10000</v>
      </c>
      <c r="O467" s="575"/>
      <c r="P467" s="575">
        <f>ENTRATA!M199</f>
        <v>10000</v>
      </c>
      <c r="Q467" s="575"/>
      <c r="R467" s="575">
        <f>ENTRATA!N199</f>
        <v>10000</v>
      </c>
      <c r="S467" s="634"/>
      <c r="T467" s="638">
        <f t="shared" si="148"/>
        <v>10000</v>
      </c>
      <c r="V467" s="630">
        <f t="shared" si="145"/>
      </c>
      <c r="X467" s="617"/>
      <c r="Y467" s="617"/>
      <c r="Z467" s="617"/>
    </row>
    <row r="468" spans="1:26" s="478" customFormat="1" ht="27" customHeight="1">
      <c r="A468" s="381">
        <v>99</v>
      </c>
      <c r="B468" s="484">
        <v>1</v>
      </c>
      <c r="C468" s="484">
        <v>7</v>
      </c>
      <c r="D468" s="1102">
        <v>4010</v>
      </c>
      <c r="E468" s="452">
        <v>701</v>
      </c>
      <c r="F468" s="452" t="s">
        <v>190</v>
      </c>
      <c r="G468" s="500" t="s">
        <v>195</v>
      </c>
      <c r="H468" s="575">
        <v>11520.11</v>
      </c>
      <c r="I468" s="575"/>
      <c r="J468" s="575">
        <v>105925</v>
      </c>
      <c r="K468" s="575"/>
      <c r="L468" s="575">
        <f>ENTRATA!J200</f>
        <v>100000</v>
      </c>
      <c r="M468" s="575"/>
      <c r="N468" s="575">
        <f>ENTRATA!K200</f>
        <v>100000</v>
      </c>
      <c r="O468" s="636"/>
      <c r="P468" s="636">
        <f>ENTRATA!M200</f>
        <v>100000</v>
      </c>
      <c r="Q468" s="636"/>
      <c r="R468" s="575">
        <f>ENTRATA!N200</f>
        <v>100000</v>
      </c>
      <c r="S468" s="637"/>
      <c r="T468" s="638">
        <f t="shared" si="148"/>
        <v>111520.11</v>
      </c>
      <c r="V468" s="630">
        <f t="shared" si="145"/>
      </c>
      <c r="X468" s="617"/>
      <c r="Y468" s="617"/>
      <c r="Z468" s="617"/>
    </row>
    <row r="469" spans="1:26" s="478" customFormat="1" ht="27.75" customHeight="1">
      <c r="A469" s="381">
        <v>99</v>
      </c>
      <c r="B469" s="484">
        <v>1</v>
      </c>
      <c r="C469" s="484">
        <v>7</v>
      </c>
      <c r="D469" s="1102">
        <v>4011</v>
      </c>
      <c r="E469" s="452">
        <v>701</v>
      </c>
      <c r="F469" s="452" t="s">
        <v>192</v>
      </c>
      <c r="G469" s="500" t="s">
        <v>245</v>
      </c>
      <c r="H469" s="575">
        <v>22</v>
      </c>
      <c r="I469" s="575"/>
      <c r="J469" s="575">
        <v>28</v>
      </c>
      <c r="K469" s="575"/>
      <c r="L469" s="575">
        <f>ENTRATA!J201</f>
        <v>10000</v>
      </c>
      <c r="M469" s="575"/>
      <c r="N469" s="575">
        <f>ENTRATA!K201</f>
        <v>10000</v>
      </c>
      <c r="O469" s="636"/>
      <c r="P469" s="636">
        <f>ENTRATA!M201</f>
        <v>10000</v>
      </c>
      <c r="Q469" s="636"/>
      <c r="R469" s="575">
        <f>ENTRATA!N201</f>
        <v>10000</v>
      </c>
      <c r="S469" s="637"/>
      <c r="T469" s="638">
        <f t="shared" si="148"/>
        <v>10022</v>
      </c>
      <c r="V469" s="630">
        <f t="shared" si="145"/>
      </c>
      <c r="X469" s="617"/>
      <c r="Y469" s="617"/>
      <c r="Z469" s="617"/>
    </row>
    <row r="470" spans="1:26" s="478" customFormat="1" ht="27.75" customHeight="1">
      <c r="A470" s="381">
        <v>99</v>
      </c>
      <c r="B470" s="484">
        <v>1</v>
      </c>
      <c r="C470" s="484">
        <v>7</v>
      </c>
      <c r="D470" s="1129">
        <v>4012</v>
      </c>
      <c r="E470" s="453">
        <v>701</v>
      </c>
      <c r="F470" s="452" t="s">
        <v>199</v>
      </c>
      <c r="G470" s="408" t="s">
        <v>455</v>
      </c>
      <c r="H470" s="577">
        <v>43147.54</v>
      </c>
      <c r="I470" s="577"/>
      <c r="J470" s="577">
        <v>209532.58</v>
      </c>
      <c r="K470" s="577"/>
      <c r="L470" s="575">
        <f>ENTRATA!J202</f>
        <v>200000</v>
      </c>
      <c r="M470" s="575"/>
      <c r="N470" s="575">
        <f>ENTRATA!K202</f>
        <v>200000</v>
      </c>
      <c r="O470" s="636"/>
      <c r="P470" s="636">
        <f>ENTRATA!M202</f>
        <v>200000</v>
      </c>
      <c r="Q470" s="631"/>
      <c r="R470" s="587">
        <f>ENTRATA!N202</f>
        <v>200000</v>
      </c>
      <c r="S470" s="632"/>
      <c r="T470" s="638">
        <f t="shared" si="148"/>
        <v>243147.54</v>
      </c>
      <c r="V470" s="630">
        <f t="shared" si="145"/>
      </c>
      <c r="X470" s="617"/>
      <c r="Y470" s="617"/>
      <c r="Z470" s="617"/>
    </row>
    <row r="471" spans="1:26" s="478" customFormat="1" ht="27.75" customHeight="1">
      <c r="A471" s="1271" t="s">
        <v>362</v>
      </c>
      <c r="B471" s="1272"/>
      <c r="C471" s="1272"/>
      <c r="D471" s="1272"/>
      <c r="E471" s="1272"/>
      <c r="F471" s="1272"/>
      <c r="G471" s="1272"/>
      <c r="H471" s="512">
        <f aca="true" t="shared" si="149" ref="H471:N471">SUM(H460:H470)</f>
        <v>254185.6</v>
      </c>
      <c r="I471" s="512">
        <f t="shared" si="149"/>
        <v>0</v>
      </c>
      <c r="J471" s="512">
        <f t="shared" si="149"/>
        <v>543438.58</v>
      </c>
      <c r="K471" s="512">
        <f t="shared" si="149"/>
        <v>0</v>
      </c>
      <c r="L471" s="580">
        <f t="shared" si="149"/>
        <v>815200</v>
      </c>
      <c r="M471" s="580">
        <f t="shared" si="149"/>
        <v>0</v>
      </c>
      <c r="N471" s="580">
        <f t="shared" si="149"/>
        <v>815200</v>
      </c>
      <c r="O471" s="512"/>
      <c r="P471" s="512">
        <f>SUM(P460:P470)</f>
        <v>815200</v>
      </c>
      <c r="Q471" s="512"/>
      <c r="R471" s="512">
        <f>SUM(R460:R470)</f>
        <v>815200</v>
      </c>
      <c r="S471" s="517"/>
      <c r="T471" s="613">
        <f>SUM(T460:T470)</f>
        <v>1069385.6</v>
      </c>
      <c r="V471" s="630">
        <f t="shared" si="145"/>
      </c>
      <c r="X471" s="617"/>
      <c r="Y471" s="617"/>
      <c r="Z471" s="617"/>
    </row>
    <row r="472" spans="1:26" s="529" customFormat="1" ht="34.5" customHeight="1" thickBot="1">
      <c r="A472" s="1305" t="s">
        <v>78</v>
      </c>
      <c r="B472" s="1306"/>
      <c r="C472" s="1306"/>
      <c r="D472" s="1306"/>
      <c r="E472" s="1306"/>
      <c r="F472" s="1306"/>
      <c r="G472" s="1306"/>
      <c r="H472" s="821">
        <f aca="true" t="shared" si="150" ref="H472:N472">SUM(H460:H470)</f>
        <v>254185.6</v>
      </c>
      <c r="I472" s="821">
        <f t="shared" si="150"/>
        <v>0</v>
      </c>
      <c r="J472" s="821">
        <f t="shared" si="150"/>
        <v>543438.58</v>
      </c>
      <c r="K472" s="821">
        <f t="shared" si="150"/>
        <v>0</v>
      </c>
      <c r="L472" s="821">
        <f t="shared" si="150"/>
        <v>815200</v>
      </c>
      <c r="M472" s="821">
        <f t="shared" si="150"/>
        <v>0</v>
      </c>
      <c r="N472" s="821">
        <f t="shared" si="150"/>
        <v>815200</v>
      </c>
      <c r="O472" s="821"/>
      <c r="P472" s="821">
        <f>SUM(P460:P470)</f>
        <v>815200</v>
      </c>
      <c r="Q472" s="821"/>
      <c r="R472" s="821">
        <f>SUM(R460:R470)</f>
        <v>815200</v>
      </c>
      <c r="S472" s="822"/>
      <c r="T472" s="823">
        <f>SUM(T460:T470)</f>
        <v>1069385.6</v>
      </c>
      <c r="V472" s="630">
        <f t="shared" si="145"/>
      </c>
      <c r="X472" s="684"/>
      <c r="Y472" s="692"/>
      <c r="Z472" s="692"/>
    </row>
    <row r="473" spans="1:26" s="565" customFormat="1" ht="30" customHeight="1" thickBot="1">
      <c r="A473" s="563"/>
      <c r="B473" s="564"/>
      <c r="C473" s="564"/>
      <c r="D473" s="564"/>
      <c r="E473" s="444"/>
      <c r="F473" s="480"/>
      <c r="G473" s="564"/>
      <c r="H473" s="996"/>
      <c r="I473" s="564"/>
      <c r="J473" s="564"/>
      <c r="K473" s="564"/>
      <c r="L473" s="600"/>
      <c r="M473" s="737"/>
      <c r="N473" s="620"/>
      <c r="T473" s="844"/>
      <c r="V473" s="630">
        <f t="shared" si="145"/>
      </c>
      <c r="X473" s="620"/>
      <c r="Y473" s="620"/>
      <c r="Z473" s="620"/>
    </row>
    <row r="474" spans="1:26" s="530" customFormat="1" ht="34.5" customHeight="1" thickBot="1">
      <c r="A474" s="1265" t="s">
        <v>135</v>
      </c>
      <c r="B474" s="1266"/>
      <c r="C474" s="1266"/>
      <c r="D474" s="1266"/>
      <c r="E474" s="1266"/>
      <c r="F474" s="1266"/>
      <c r="G474" s="1266"/>
      <c r="H474" s="601">
        <f aca="true" t="shared" si="151" ref="H474:T474">H285+H436+H445+H452+H457+H472</f>
        <v>4659153.92</v>
      </c>
      <c r="I474" s="601">
        <f t="shared" si="151"/>
        <v>2139940</v>
      </c>
      <c r="J474" s="601">
        <f t="shared" si="151"/>
        <v>7182144.63</v>
      </c>
      <c r="K474" s="601">
        <f t="shared" si="151"/>
        <v>403018.88</v>
      </c>
      <c r="L474" s="601">
        <f>L285+L436+L445+L452+L457+L472</f>
        <v>9763711.170000002</v>
      </c>
      <c r="M474" s="601">
        <f>M285+M436+M445+M452+M457+M472</f>
        <v>1454477.24</v>
      </c>
      <c r="N474" s="601">
        <f t="shared" si="151"/>
        <v>7110058</v>
      </c>
      <c r="O474" s="601">
        <f t="shared" si="151"/>
        <v>187463</v>
      </c>
      <c r="P474" s="601">
        <f t="shared" si="151"/>
        <v>5982507</v>
      </c>
      <c r="Q474" s="601" t="e">
        <f t="shared" si="151"/>
        <v>#REF!</v>
      </c>
      <c r="R474" s="601">
        <f t="shared" si="151"/>
        <v>5543005</v>
      </c>
      <c r="S474" s="601">
        <f t="shared" si="151"/>
        <v>44418.93</v>
      </c>
      <c r="T474" s="601">
        <f t="shared" si="151"/>
        <v>11665031.92</v>
      </c>
      <c r="V474" s="630">
        <f t="shared" si="145"/>
      </c>
      <c r="X474" s="694"/>
      <c r="Y474" s="689"/>
      <c r="Z474" s="689"/>
    </row>
    <row r="475" spans="8:24" ht="30" customHeight="1">
      <c r="H475" s="988"/>
      <c r="L475" s="602"/>
      <c r="M475" s="602"/>
      <c r="N475" s="602"/>
      <c r="T475" s="1082"/>
      <c r="X475" s="682"/>
    </row>
    <row r="476" spans="8:24" ht="30" customHeight="1">
      <c r="H476" s="842"/>
      <c r="L476" s="602"/>
      <c r="M476" s="602"/>
      <c r="N476" s="602"/>
      <c r="T476" s="683"/>
      <c r="X476" s="682"/>
    </row>
    <row r="477" spans="8:13" ht="30" customHeight="1">
      <c r="H477" s="842"/>
      <c r="L477" s="602"/>
      <c r="M477" s="602"/>
    </row>
    <row r="478" spans="8:13" ht="30" customHeight="1">
      <c r="H478" s="842"/>
      <c r="L478" s="602"/>
      <c r="M478" s="602"/>
    </row>
    <row r="479" spans="12:13" ht="30" customHeight="1">
      <c r="L479" s="602"/>
      <c r="M479" s="602"/>
    </row>
    <row r="480" spans="12:13" ht="30" customHeight="1">
      <c r="L480" s="602"/>
      <c r="M480" s="602"/>
    </row>
    <row r="481" spans="12:13" ht="30" customHeight="1">
      <c r="L481" s="602"/>
      <c r="M481" s="602"/>
    </row>
    <row r="482" spans="12:13" ht="30" customHeight="1">
      <c r="L482" s="602"/>
      <c r="M482" s="602"/>
    </row>
    <row r="483" spans="12:13" ht="30" customHeight="1">
      <c r="L483" s="602"/>
      <c r="M483" s="602"/>
    </row>
    <row r="485" spans="12:13" ht="30" customHeight="1">
      <c r="L485" s="602"/>
      <c r="M485" s="602"/>
    </row>
    <row r="486" spans="12:13" ht="30" customHeight="1">
      <c r="L486" s="602"/>
      <c r="M486" s="602"/>
    </row>
    <row r="487" spans="12:13" ht="30" customHeight="1">
      <c r="L487" s="602"/>
      <c r="M487" s="602"/>
    </row>
    <row r="488" spans="12:13" ht="30" customHeight="1">
      <c r="L488" s="602"/>
      <c r="M488" s="602"/>
    </row>
    <row r="489" spans="12:13" ht="30" customHeight="1">
      <c r="L489" s="602"/>
      <c r="M489" s="602"/>
    </row>
    <row r="490" spans="12:13" ht="30" customHeight="1">
      <c r="L490" s="602"/>
      <c r="M490" s="602"/>
    </row>
    <row r="491" spans="12:13" ht="30" customHeight="1">
      <c r="L491" s="602"/>
      <c r="M491" s="602"/>
    </row>
    <row r="492" spans="12:13" ht="30" customHeight="1">
      <c r="L492" s="602"/>
      <c r="M492" s="602"/>
    </row>
    <row r="493" spans="12:13" ht="30" customHeight="1">
      <c r="L493" s="602"/>
      <c r="M493" s="602"/>
    </row>
    <row r="494" spans="12:13" ht="30" customHeight="1">
      <c r="L494" s="602"/>
      <c r="M494" s="602"/>
    </row>
    <row r="495" spans="12:13" ht="30" customHeight="1">
      <c r="L495" s="602"/>
      <c r="M495" s="602"/>
    </row>
    <row r="496" spans="12:13" ht="30" customHeight="1">
      <c r="L496" s="602"/>
      <c r="M496" s="602"/>
    </row>
    <row r="497" spans="12:13" ht="30" customHeight="1">
      <c r="L497" s="602"/>
      <c r="M497" s="602"/>
    </row>
    <row r="498" spans="12:13" ht="30" customHeight="1">
      <c r="L498" s="602"/>
      <c r="M498" s="602"/>
    </row>
    <row r="499" spans="12:13" ht="30" customHeight="1">
      <c r="L499" s="602"/>
      <c r="M499" s="602"/>
    </row>
    <row r="500" spans="12:13" ht="30" customHeight="1">
      <c r="L500" s="602"/>
      <c r="M500" s="602"/>
    </row>
    <row r="501" spans="12:13" ht="30" customHeight="1">
      <c r="L501" s="602"/>
      <c r="M501" s="602"/>
    </row>
    <row r="502" spans="12:13" ht="30" customHeight="1">
      <c r="L502" s="602"/>
      <c r="M502" s="602"/>
    </row>
    <row r="503" spans="12:13" ht="30" customHeight="1">
      <c r="L503" s="602"/>
      <c r="M503" s="602"/>
    </row>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row r="913" ht="30" customHeight="1"/>
    <row r="914" ht="30" customHeight="1"/>
    <row r="915" ht="30" customHeight="1"/>
    <row r="916" ht="30" customHeight="1"/>
    <row r="917" ht="30" customHeight="1"/>
    <row r="918" ht="30" customHeight="1"/>
    <row r="919" ht="30" customHeight="1"/>
    <row r="920" ht="30" customHeight="1"/>
    <row r="921" ht="30" customHeight="1"/>
    <row r="922" ht="30" customHeight="1"/>
    <row r="923" ht="30" customHeight="1"/>
    <row r="924" ht="30" customHeight="1"/>
    <row r="925" ht="30" customHeight="1"/>
    <row r="926" ht="30" customHeight="1"/>
    <row r="927" ht="30" customHeight="1"/>
    <row r="928" ht="30" customHeight="1"/>
    <row r="929" ht="30" customHeight="1"/>
    <row r="930" ht="30" customHeight="1"/>
    <row r="931" ht="30" customHeight="1"/>
    <row r="932" ht="30" customHeight="1"/>
    <row r="933" ht="30" customHeight="1"/>
    <row r="934" ht="30" customHeight="1"/>
    <row r="935" ht="30" customHeight="1"/>
    <row r="936" ht="30" customHeight="1"/>
    <row r="937" ht="30" customHeight="1"/>
    <row r="938" ht="30" customHeight="1"/>
    <row r="939" ht="30" customHeight="1"/>
    <row r="940" ht="30" customHeight="1"/>
    <row r="941" ht="30" customHeight="1"/>
    <row r="942" ht="30" customHeight="1"/>
    <row r="943" ht="30" customHeight="1"/>
    <row r="944" ht="30" customHeight="1"/>
    <row r="945" ht="30" customHeight="1"/>
    <row r="946" ht="30" customHeight="1"/>
    <row r="947" ht="30" customHeight="1"/>
    <row r="948" ht="30" customHeight="1"/>
    <row r="949" ht="30" customHeight="1"/>
    <row r="950" ht="30" customHeight="1"/>
    <row r="951" ht="30" customHeight="1"/>
    <row r="952" ht="30" customHeight="1"/>
    <row r="953" ht="30" customHeight="1"/>
    <row r="954" ht="30" customHeight="1"/>
    <row r="955" ht="30" customHeight="1"/>
    <row r="956" ht="30" customHeight="1"/>
    <row r="957" ht="30" customHeight="1"/>
    <row r="958" ht="30" customHeight="1"/>
    <row r="959" ht="30" customHeight="1"/>
    <row r="960" ht="30" customHeight="1"/>
    <row r="961" ht="30" customHeight="1"/>
    <row r="962" ht="30" customHeight="1"/>
    <row r="963" ht="30" customHeight="1"/>
    <row r="964" ht="30" customHeight="1"/>
    <row r="965" ht="30" customHeight="1"/>
    <row r="966" ht="30" customHeight="1"/>
    <row r="967" ht="30" customHeight="1"/>
    <row r="968" ht="30" customHeight="1"/>
    <row r="969" ht="30" customHeight="1"/>
    <row r="970" ht="30" customHeight="1"/>
    <row r="971" ht="30" customHeight="1"/>
    <row r="972" ht="30" customHeight="1"/>
    <row r="973" ht="30" customHeight="1"/>
    <row r="974" ht="30" customHeight="1"/>
    <row r="975" ht="30" customHeight="1"/>
    <row r="976" ht="30" customHeight="1"/>
    <row r="977" ht="30" customHeight="1"/>
    <row r="978" ht="30" customHeight="1"/>
    <row r="979" ht="30" customHeight="1"/>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row r="996" ht="30" customHeight="1"/>
    <row r="997" ht="30" customHeight="1"/>
    <row r="998" ht="30" customHeight="1"/>
    <row r="999" ht="30" customHeight="1"/>
    <row r="1000" ht="30" customHeight="1"/>
    <row r="1001" ht="30" customHeight="1"/>
    <row r="1002" ht="30" customHeight="1"/>
    <row r="1003" ht="30" customHeight="1"/>
    <row r="1004" ht="30" customHeight="1"/>
    <row r="1005" ht="30" customHeight="1"/>
    <row r="1006" ht="30" customHeight="1"/>
    <row r="1007" ht="30" customHeight="1"/>
    <row r="1008" ht="30" customHeight="1"/>
    <row r="1009" ht="30" customHeight="1"/>
    <row r="1010" ht="30" customHeight="1"/>
    <row r="1011" ht="30" customHeight="1"/>
    <row r="1012" ht="30" customHeight="1"/>
    <row r="1013" ht="30" customHeight="1"/>
    <row r="1014" ht="30" customHeight="1"/>
    <row r="1015" ht="30" customHeight="1"/>
    <row r="1016" ht="30" customHeight="1"/>
    <row r="1017" ht="30" customHeight="1"/>
    <row r="1018" ht="30" customHeight="1"/>
    <row r="1019" ht="30" customHeight="1"/>
    <row r="1020" ht="30" customHeight="1"/>
    <row r="1021" ht="30" customHeight="1"/>
    <row r="1022" ht="30" customHeight="1"/>
    <row r="1023" ht="30" customHeight="1"/>
    <row r="1024" ht="30" customHeight="1"/>
    <row r="1025" ht="30" customHeight="1"/>
    <row r="1026" ht="30" customHeight="1"/>
    <row r="1027" ht="30" customHeight="1"/>
    <row r="1028" ht="30" customHeight="1"/>
    <row r="1029" ht="30" customHeight="1"/>
    <row r="1030" ht="30" customHeight="1"/>
    <row r="1031" ht="30" customHeight="1"/>
    <row r="1032" ht="30" customHeight="1"/>
    <row r="1033" ht="30" customHeight="1"/>
    <row r="1034" ht="30" customHeight="1"/>
    <row r="1035" ht="30" customHeight="1"/>
    <row r="1036" ht="30" customHeight="1"/>
    <row r="1037" ht="30" customHeight="1"/>
    <row r="1038" ht="30" customHeight="1"/>
    <row r="1039" ht="30" customHeight="1"/>
    <row r="1040" ht="30" customHeight="1"/>
    <row r="1041" ht="30" customHeight="1"/>
    <row r="1042" ht="30" customHeight="1"/>
    <row r="1043" ht="30" customHeight="1"/>
    <row r="1044" ht="30" customHeight="1"/>
    <row r="1045" ht="30" customHeight="1"/>
    <row r="1046" ht="30" customHeight="1"/>
    <row r="1047" ht="30" customHeight="1"/>
    <row r="1048" ht="30" customHeight="1"/>
    <row r="1049" ht="30" customHeight="1"/>
    <row r="1050" ht="30" customHeight="1"/>
    <row r="1051" ht="30" customHeight="1"/>
    <row r="1052" ht="30" customHeight="1"/>
    <row r="1053" ht="30" customHeight="1"/>
    <row r="1054" ht="30" customHeight="1"/>
    <row r="1055" ht="30" customHeight="1"/>
    <row r="1056" ht="30" customHeight="1"/>
    <row r="1057" ht="30" customHeight="1"/>
    <row r="1058" ht="30" customHeight="1"/>
    <row r="1059" ht="30" customHeight="1"/>
    <row r="1060" ht="30" customHeight="1"/>
    <row r="1061" ht="30" customHeight="1"/>
    <row r="1062" ht="30" customHeight="1"/>
    <row r="1063" ht="30" customHeight="1"/>
    <row r="1064" ht="30" customHeight="1"/>
    <row r="1065" ht="30" customHeight="1"/>
    <row r="1066" ht="30" customHeight="1"/>
    <row r="1067" ht="30" customHeight="1"/>
    <row r="1068" ht="30" customHeight="1"/>
    <row r="1069" ht="30" customHeight="1"/>
    <row r="1070" ht="30" customHeight="1"/>
    <row r="1071" ht="30" customHeight="1"/>
    <row r="1072" ht="30" customHeight="1"/>
    <row r="1073" ht="30" customHeight="1"/>
    <row r="1074" ht="30" customHeight="1"/>
    <row r="1075" ht="30" customHeight="1"/>
    <row r="1076" ht="30" customHeight="1"/>
    <row r="1077" ht="30" customHeight="1"/>
    <row r="1078" ht="30" customHeight="1"/>
    <row r="1079" ht="30" customHeight="1"/>
    <row r="1080" ht="30" customHeight="1"/>
    <row r="1081" ht="30" customHeight="1"/>
    <row r="1082" ht="30" customHeight="1"/>
    <row r="1083" ht="30" customHeight="1"/>
    <row r="1084" ht="30" customHeight="1"/>
    <row r="1085" ht="30" customHeight="1"/>
    <row r="1086" ht="30" customHeight="1"/>
    <row r="1087" ht="30" customHeight="1"/>
    <row r="1088" ht="30" customHeight="1"/>
    <row r="1089" ht="30" customHeight="1"/>
    <row r="1090" ht="30" customHeight="1"/>
    <row r="1091" ht="30" customHeight="1"/>
    <row r="1092" ht="30" customHeight="1"/>
    <row r="1093" ht="30" customHeight="1"/>
    <row r="1094" ht="30" customHeight="1"/>
    <row r="1095" ht="30" customHeight="1"/>
    <row r="1096" ht="30" customHeight="1"/>
    <row r="1097" ht="30" customHeight="1"/>
    <row r="1098" ht="30" customHeight="1"/>
    <row r="1099" ht="30" customHeight="1"/>
    <row r="1100" ht="30" customHeight="1"/>
    <row r="1101" ht="30" customHeight="1"/>
    <row r="1102" ht="30" customHeight="1"/>
    <row r="1103" ht="30" customHeight="1"/>
    <row r="1104" ht="30" customHeight="1"/>
    <row r="1105" ht="30" customHeight="1"/>
    <row r="1106" ht="30" customHeight="1"/>
    <row r="1107" ht="30" customHeight="1"/>
    <row r="1108" ht="30" customHeight="1"/>
    <row r="1109" ht="30" customHeight="1"/>
    <row r="1110" ht="30" customHeight="1"/>
    <row r="1111" ht="30" customHeight="1"/>
    <row r="1112" ht="30" customHeight="1"/>
    <row r="1113" ht="30" customHeight="1"/>
    <row r="1114" ht="30" customHeight="1"/>
    <row r="1115" ht="30" customHeight="1"/>
    <row r="1116" ht="30" customHeight="1"/>
    <row r="1117" ht="30" customHeight="1"/>
    <row r="1118" ht="30" customHeight="1"/>
    <row r="1119" ht="30" customHeight="1"/>
    <row r="1120" ht="30" customHeight="1"/>
    <row r="1121" ht="30" customHeight="1"/>
    <row r="1122" ht="30" customHeight="1"/>
    <row r="1123" ht="30" customHeight="1"/>
    <row r="1124" ht="30" customHeight="1"/>
    <row r="1125" ht="30" customHeight="1"/>
    <row r="1126" ht="30" customHeight="1"/>
    <row r="1127" ht="30" customHeight="1"/>
    <row r="1128" ht="30" customHeight="1"/>
    <row r="1129" ht="30" customHeight="1"/>
    <row r="1130" ht="30" customHeight="1"/>
    <row r="1131" ht="30" customHeight="1"/>
    <row r="1132" ht="30" customHeight="1"/>
    <row r="1133" ht="30" customHeight="1"/>
    <row r="1134" ht="30" customHeight="1"/>
    <row r="1135" ht="30" customHeight="1"/>
    <row r="1136" ht="30" customHeight="1"/>
    <row r="1137" ht="30" customHeight="1"/>
    <row r="1138" ht="30" customHeight="1"/>
    <row r="1139" ht="30" customHeight="1"/>
    <row r="1140" ht="30" customHeight="1"/>
  </sheetData>
  <sheetProtection formatRows="0" insertColumns="0" insertRows="0" insertHyperlinks="0" deleteColumns="0" deleteRows="0" sort="0" autoFilter="0" pivotTables="0"/>
  <mergeCells count="147">
    <mergeCell ref="A218:G218"/>
    <mergeCell ref="A177:G177"/>
    <mergeCell ref="A220:G220"/>
    <mergeCell ref="A185:G185"/>
    <mergeCell ref="A196:G196"/>
    <mergeCell ref="A193:G193"/>
    <mergeCell ref="A198:G198"/>
    <mergeCell ref="A219:G219"/>
    <mergeCell ref="A213:G213"/>
    <mergeCell ref="A214:G214"/>
    <mergeCell ref="H214:T214"/>
    <mergeCell ref="A212:G212"/>
    <mergeCell ref="A178:G178"/>
    <mergeCell ref="H178:T178"/>
    <mergeCell ref="H198:T198"/>
    <mergeCell ref="H143:T143"/>
    <mergeCell ref="A168:G168"/>
    <mergeCell ref="H168:T168"/>
    <mergeCell ref="A154:G154"/>
    <mergeCell ref="A155:G155"/>
    <mergeCell ref="H155:T155"/>
    <mergeCell ref="A167:G167"/>
    <mergeCell ref="A121:G121"/>
    <mergeCell ref="H121:T121"/>
    <mergeCell ref="A159:G159"/>
    <mergeCell ref="A126:G126"/>
    <mergeCell ref="A166:G166"/>
    <mergeCell ref="A109:G109"/>
    <mergeCell ref="H109:T109"/>
    <mergeCell ref="A120:G120"/>
    <mergeCell ref="A119:G119"/>
    <mergeCell ref="A142:G142"/>
    <mergeCell ref="A143:G143"/>
    <mergeCell ref="H6:T6"/>
    <mergeCell ref="A48:G48"/>
    <mergeCell ref="A55:G55"/>
    <mergeCell ref="A64:G64"/>
    <mergeCell ref="A107:G107"/>
    <mergeCell ref="A73:G73"/>
    <mergeCell ref="A96:G96"/>
    <mergeCell ref="A80:G80"/>
    <mergeCell ref="A452:G452"/>
    <mergeCell ref="A438:T438"/>
    <mergeCell ref="A414:G414"/>
    <mergeCell ref="A451:G451"/>
    <mergeCell ref="A426:G426"/>
    <mergeCell ref="A416:G416"/>
    <mergeCell ref="A447:T447"/>
    <mergeCell ref="A434:G434"/>
    <mergeCell ref="A420:G420"/>
    <mergeCell ref="A445:G445"/>
    <mergeCell ref="A377:G377"/>
    <mergeCell ref="A357:G357"/>
    <mergeCell ref="A474:G474"/>
    <mergeCell ref="A436:G436"/>
    <mergeCell ref="A472:G472"/>
    <mergeCell ref="A457:G457"/>
    <mergeCell ref="A471:G471"/>
    <mergeCell ref="A458:T458"/>
    <mergeCell ref="A453:T453"/>
    <mergeCell ref="A456:G456"/>
    <mergeCell ref="H220:T220"/>
    <mergeCell ref="A230:G230"/>
    <mergeCell ref="A375:G375"/>
    <mergeCell ref="A365:G365"/>
    <mergeCell ref="H365:T365"/>
    <mergeCell ref="H313:T313"/>
    <mergeCell ref="A294:G294"/>
    <mergeCell ref="A298:G298"/>
    <mergeCell ref="A311:G311"/>
    <mergeCell ref="H357:T357"/>
    <mergeCell ref="A173:G173"/>
    <mergeCell ref="A1:L1"/>
    <mergeCell ref="A20:G20"/>
    <mergeCell ref="A35:G35"/>
    <mergeCell ref="A43:G43"/>
    <mergeCell ref="A2:L2"/>
    <mergeCell ref="A3:C3"/>
    <mergeCell ref="A4:S4"/>
    <mergeCell ref="A108:G108"/>
    <mergeCell ref="A6:G6"/>
    <mergeCell ref="A269:G269"/>
    <mergeCell ref="A272:G272"/>
    <mergeCell ref="A246:G246"/>
    <mergeCell ref="A138:G138"/>
    <mergeCell ref="A141:G141"/>
    <mergeCell ref="A153:G153"/>
    <mergeCell ref="A182:G182"/>
    <mergeCell ref="A176:G176"/>
    <mergeCell ref="A224:G224"/>
    <mergeCell ref="A197:G197"/>
    <mergeCell ref="A356:G356"/>
    <mergeCell ref="A364:G364"/>
    <mergeCell ref="A347:G347"/>
    <mergeCell ref="H265:T265"/>
    <mergeCell ref="A273:G273"/>
    <mergeCell ref="A274:G274"/>
    <mergeCell ref="H274:T274"/>
    <mergeCell ref="A283:G283"/>
    <mergeCell ref="A277:G277"/>
    <mergeCell ref="A279:G279"/>
    <mergeCell ref="A409:G409"/>
    <mergeCell ref="A371:G371"/>
    <mergeCell ref="A368:G368"/>
    <mergeCell ref="A376:G376"/>
    <mergeCell ref="A313:G313"/>
    <mergeCell ref="A332:G332"/>
    <mergeCell ref="A337:G337"/>
    <mergeCell ref="A355:G355"/>
    <mergeCell ref="A363:G363"/>
    <mergeCell ref="A334:G334"/>
    <mergeCell ref="A263:G263"/>
    <mergeCell ref="A264:G264"/>
    <mergeCell ref="A239:G239"/>
    <mergeCell ref="H377:T377"/>
    <mergeCell ref="H334:T334"/>
    <mergeCell ref="H428:T428"/>
    <mergeCell ref="A417:G417"/>
    <mergeCell ref="A418:G418"/>
    <mergeCell ref="H418:T418"/>
    <mergeCell ref="H411:T411"/>
    <mergeCell ref="A312:G312"/>
    <mergeCell ref="A333:G333"/>
    <mergeCell ref="A265:G265"/>
    <mergeCell ref="A435:G435"/>
    <mergeCell ref="A84:G84"/>
    <mergeCell ref="A427:G427"/>
    <mergeCell ref="A428:G428"/>
    <mergeCell ref="A410:G410"/>
    <mergeCell ref="A411:G411"/>
    <mergeCell ref="A373:G373"/>
    <mergeCell ref="A233:G233"/>
    <mergeCell ref="A261:G261"/>
    <mergeCell ref="A260:G260"/>
    <mergeCell ref="A254:G254"/>
    <mergeCell ref="H261:T261"/>
    <mergeCell ref="A259:G259"/>
    <mergeCell ref="A339:G339"/>
    <mergeCell ref="A284:G284"/>
    <mergeCell ref="A338:G338"/>
    <mergeCell ref="A289:G289"/>
    <mergeCell ref="A287:T287"/>
    <mergeCell ref="A285:G285"/>
    <mergeCell ref="H289:T289"/>
    <mergeCell ref="A327:G327"/>
    <mergeCell ref="A303:G303"/>
    <mergeCell ref="H339:T339"/>
  </mergeCells>
  <printOptions horizontalCentered="1" verticalCentered="1"/>
  <pageMargins left="0" right="0" top="0.1968503937007874" bottom="0.1968503937007874" header="0.31496062992125984" footer="0.15748031496062992"/>
  <pageSetup horizontalDpi="600" verticalDpi="600" orientation="landscape" paperSize="8" scale="60" r:id="rId3"/>
  <rowBreaks count="7" manualBreakCount="7">
    <brk id="181" max="18" man="1"/>
    <brk id="261" max="18" man="1"/>
    <brk id="286" max="18" man="1"/>
    <brk id="334" max="18" man="1"/>
    <brk id="436" max="18" man="1"/>
    <brk id="452" max="18" man="1"/>
    <brk id="457" max="18" man="1"/>
  </rowBreaks>
  <legacyDrawing r:id="rId2"/>
</worksheet>
</file>

<file path=xl/worksheets/sheet3.xml><?xml version="1.0" encoding="utf-8"?>
<worksheet xmlns="http://schemas.openxmlformats.org/spreadsheetml/2006/main" xmlns:r="http://schemas.openxmlformats.org/officeDocument/2006/relationships">
  <dimension ref="A1:B17"/>
  <sheetViews>
    <sheetView showGridLines="0" zoomScalePageLayoutView="0" workbookViewId="0" topLeftCell="A1">
      <selection activeCell="C4" sqref="C4"/>
    </sheetView>
  </sheetViews>
  <sheetFormatPr defaultColWidth="9.140625" defaultRowHeight="12.75"/>
  <cols>
    <col min="1" max="1" width="55.140625" style="81" customWidth="1"/>
    <col min="2" max="2" width="20.7109375" style="82" customWidth="1"/>
    <col min="3" max="16384" width="9.140625" style="81" customWidth="1"/>
  </cols>
  <sheetData>
    <row r="1" spans="1:2" ht="33" customHeight="1">
      <c r="A1" s="1326" t="s">
        <v>5</v>
      </c>
      <c r="B1" s="1326"/>
    </row>
    <row r="2" spans="1:2" ht="12" customHeight="1">
      <c r="A2" s="270"/>
      <c r="B2" s="270"/>
    </row>
    <row r="3" spans="1:2" ht="19.5" customHeight="1">
      <c r="A3" s="273" t="s">
        <v>1000</v>
      </c>
      <c r="B3" s="1028">
        <v>1462180.36</v>
      </c>
    </row>
    <row r="4" spans="1:2" ht="19.5" customHeight="1">
      <c r="A4" s="273" t="s">
        <v>688</v>
      </c>
      <c r="B4" s="274">
        <f>ENTRATA!O210</f>
        <v>11737768.78</v>
      </c>
    </row>
    <row r="5" spans="1:2" ht="19.5" customHeight="1">
      <c r="A5" s="273" t="s">
        <v>689</v>
      </c>
      <c r="B5" s="274">
        <f>SPESA!T474</f>
        <v>11665031.92</v>
      </c>
    </row>
    <row r="6" spans="1:2" ht="19.5" customHeight="1">
      <c r="A6" s="273" t="s">
        <v>690</v>
      </c>
      <c r="B6" s="274">
        <f>B3+B4-B5</f>
        <v>1534917.2199999988</v>
      </c>
    </row>
    <row r="7" spans="1:2" ht="24.75" customHeight="1">
      <c r="A7" s="272"/>
      <c r="B7" s="271"/>
    </row>
    <row r="8" spans="1:2" ht="19.5" customHeight="1">
      <c r="A8" s="84" t="s">
        <v>914</v>
      </c>
      <c r="B8" s="212">
        <f>B6</f>
        <v>1534917.2199999988</v>
      </c>
    </row>
    <row r="9" spans="1:2" ht="19.5" customHeight="1">
      <c r="A9" s="84" t="s">
        <v>915</v>
      </c>
      <c r="B9" s="85"/>
    </row>
    <row r="10" spans="1:2" ht="19.5" customHeight="1" thickBot="1">
      <c r="A10" s="84" t="s">
        <v>916</v>
      </c>
      <c r="B10" s="85"/>
    </row>
    <row r="11" spans="1:2" s="83" customFormat="1" ht="19.5" customHeight="1" thickBot="1">
      <c r="A11" s="86" t="s">
        <v>917</v>
      </c>
      <c r="B11" s="87">
        <f>B8+B9-B10</f>
        <v>1534917.2199999988</v>
      </c>
    </row>
    <row r="12" spans="1:2" s="278" customFormat="1" ht="19.5" customHeight="1">
      <c r="A12" s="276"/>
      <c r="B12" s="277"/>
    </row>
    <row r="13" spans="1:2" ht="24.75" customHeight="1">
      <c r="A13" s="84" t="s">
        <v>1162</v>
      </c>
      <c r="B13" s="85">
        <f>B11</f>
        <v>1534917.2199999988</v>
      </c>
    </row>
    <row r="14" spans="1:2" ht="19.5" customHeight="1">
      <c r="A14" s="84" t="s">
        <v>1163</v>
      </c>
      <c r="B14" s="85"/>
    </row>
    <row r="15" spans="1:2" ht="19.5" customHeight="1" thickBot="1">
      <c r="A15" s="84" t="s">
        <v>1164</v>
      </c>
      <c r="B15" s="85"/>
    </row>
    <row r="16" spans="1:2" s="83" customFormat="1" ht="19.5" customHeight="1" thickBot="1">
      <c r="A16" s="88" t="s">
        <v>1165</v>
      </c>
      <c r="B16" s="89">
        <f>B13+B14-B15</f>
        <v>1534917.2199999988</v>
      </c>
    </row>
    <row r="17" spans="1:2" s="278" customFormat="1" ht="19.5" customHeight="1">
      <c r="A17" s="276"/>
      <c r="B17" s="277"/>
    </row>
  </sheetData>
  <sheetProtection/>
  <mergeCells count="1">
    <mergeCell ref="A1:B1"/>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N53"/>
  <sheetViews>
    <sheetView showGridLines="0" zoomScale="60" zoomScaleNormal="60" zoomScalePageLayoutView="0" workbookViewId="0" topLeftCell="A5">
      <selection activeCell="E13" sqref="E13"/>
    </sheetView>
  </sheetViews>
  <sheetFormatPr defaultColWidth="10.421875" defaultRowHeight="12.75"/>
  <cols>
    <col min="1" max="1" width="65.8515625" style="4" customWidth="1"/>
    <col min="2" max="2" width="20.7109375" style="4" hidden="1" customWidth="1"/>
    <col min="3" max="7" width="20.7109375" style="4" customWidth="1"/>
    <col min="8" max="8" width="80.57421875" style="4" customWidth="1"/>
    <col min="9" max="9" width="20.7109375" style="4" hidden="1" customWidth="1"/>
    <col min="10" max="14" width="20.7109375" style="4" customWidth="1"/>
    <col min="15" max="16384" width="10.421875" style="4" customWidth="1"/>
  </cols>
  <sheetData>
    <row r="1" spans="1:13" ht="21">
      <c r="A1" s="1334"/>
      <c r="B1" s="1334"/>
      <c r="C1" s="1334"/>
      <c r="D1" s="1334"/>
      <c r="E1" s="1334"/>
      <c r="F1" s="1334"/>
      <c r="G1" s="1334"/>
      <c r="H1" s="1334"/>
      <c r="I1" s="1334"/>
      <c r="J1" s="1334"/>
      <c r="K1" s="1334"/>
      <c r="L1" s="1334"/>
      <c r="M1" s="1334"/>
    </row>
    <row r="3" spans="1:13" ht="22.5" customHeight="1">
      <c r="A3" s="1335" t="s">
        <v>369</v>
      </c>
      <c r="B3" s="1335"/>
      <c r="C3" s="1335"/>
      <c r="D3" s="1335"/>
      <c r="E3" s="1335"/>
      <c r="F3" s="1335"/>
      <c r="G3" s="1335"/>
      <c r="H3" s="1335"/>
      <c r="I3" s="1335"/>
      <c r="J3" s="1335"/>
      <c r="K3" s="1335"/>
      <c r="L3" s="1335"/>
      <c r="M3" s="1335"/>
    </row>
    <row r="4" ht="13.5" thickBot="1"/>
    <row r="5" spans="1:14" ht="90" customHeight="1" thickBot="1">
      <c r="A5" s="1475" t="s">
        <v>249</v>
      </c>
      <c r="B5" s="1476" t="s">
        <v>209</v>
      </c>
      <c r="C5" s="1476" t="s">
        <v>1171</v>
      </c>
      <c r="D5" s="1476" t="s">
        <v>691</v>
      </c>
      <c r="E5" s="1476" t="s">
        <v>1172</v>
      </c>
      <c r="F5" s="1477" t="s">
        <v>913</v>
      </c>
      <c r="G5" s="1478" t="s">
        <v>1008</v>
      </c>
      <c r="H5" s="1475" t="s">
        <v>250</v>
      </c>
      <c r="I5" s="1476" t="s">
        <v>210</v>
      </c>
      <c r="J5" s="1476" t="str">
        <f>C5</f>
        <v>COMPETENZA ANNO DI RIFERIMENTO DEL BILANCIO
2022</v>
      </c>
      <c r="K5" s="1476" t="str">
        <f>D5</f>
        <v>COMPETENZA ANNO 2023</v>
      </c>
      <c r="L5" s="1476" t="str">
        <f>E5</f>
        <v>CASSA 
ANNO DI RIFERIMENTO DEL BILANCIO 
2023</v>
      </c>
      <c r="M5" s="1476" t="str">
        <f>F5</f>
        <v>COMPETENZA ANNO 2024</v>
      </c>
      <c r="N5" s="1478" t="str">
        <f>G5</f>
        <v>COMPETENZA ANNO 2025</v>
      </c>
    </row>
    <row r="6" spans="1:14" ht="14.25">
      <c r="A6" s="20"/>
      <c r="B6" s="5"/>
      <c r="C6" s="43"/>
      <c r="D6" s="7"/>
      <c r="E6" s="48"/>
      <c r="F6" s="1473"/>
      <c r="G6" s="1474"/>
      <c r="H6" s="20"/>
      <c r="I6" s="5"/>
      <c r="J6" s="7"/>
      <c r="K6" s="43"/>
      <c r="L6" s="1473"/>
      <c r="M6" s="1473"/>
      <c r="N6" s="113"/>
    </row>
    <row r="7" spans="1:14" ht="19.5" customHeight="1">
      <c r="A7" s="21" t="s">
        <v>289</v>
      </c>
      <c r="B7" s="51"/>
      <c r="C7" s="97"/>
      <c r="D7" s="97"/>
      <c r="E7" s="104">
        <f>CASSA!B3</f>
        <v>1462180.36</v>
      </c>
      <c r="F7" s="104"/>
      <c r="G7" s="98"/>
      <c r="H7" s="20"/>
      <c r="I7" s="99"/>
      <c r="J7" s="9"/>
      <c r="K7" s="10"/>
      <c r="L7" s="58"/>
      <c r="M7" s="58"/>
      <c r="N7" s="139"/>
    </row>
    <row r="8" spans="1:14" ht="14.25">
      <c r="A8" s="22"/>
      <c r="B8" s="1"/>
      <c r="C8" s="10"/>
      <c r="D8" s="9"/>
      <c r="E8" s="105"/>
      <c r="F8" s="58"/>
      <c r="G8" s="24"/>
      <c r="H8" s="20"/>
      <c r="I8" s="100"/>
      <c r="J8" s="9"/>
      <c r="K8" s="9"/>
      <c r="L8" s="105"/>
      <c r="M8" s="58"/>
      <c r="N8" s="139"/>
    </row>
    <row r="9" spans="1:14" ht="19.5" customHeight="1">
      <c r="A9" s="21" t="s">
        <v>290</v>
      </c>
      <c r="B9" s="214"/>
      <c r="C9" s="51">
        <f>ENTRATA!J214+ENTRATA!J213</f>
        <v>156244.89</v>
      </c>
      <c r="D9" s="51"/>
      <c r="E9" s="216"/>
      <c r="F9" s="106"/>
      <c r="G9" s="91"/>
      <c r="H9" s="32" t="s">
        <v>291</v>
      </c>
      <c r="I9" s="11"/>
      <c r="J9" s="51"/>
      <c r="K9" s="51"/>
      <c r="L9" s="106"/>
      <c r="M9" s="106"/>
      <c r="N9" s="140"/>
    </row>
    <row r="10" spans="1:14" ht="14.25">
      <c r="A10" s="20"/>
      <c r="B10" s="12"/>
      <c r="C10" s="10"/>
      <c r="D10" s="9"/>
      <c r="E10" s="105"/>
      <c r="F10" s="149"/>
      <c r="G10" s="24"/>
      <c r="H10" s="20"/>
      <c r="I10" s="12"/>
      <c r="J10" s="9"/>
      <c r="K10" s="10"/>
      <c r="L10" s="58"/>
      <c r="M10" s="58"/>
      <c r="N10" s="139"/>
    </row>
    <row r="11" spans="1:14" ht="19.5" customHeight="1">
      <c r="A11" s="23" t="s">
        <v>292</v>
      </c>
      <c r="B11" s="215"/>
      <c r="C11" s="51">
        <f>ENTRATA!J211+ENTRATA!J212</f>
        <v>1454477.24</v>
      </c>
      <c r="D11" s="51"/>
      <c r="E11" s="106"/>
      <c r="F11" s="106"/>
      <c r="G11" s="91">
        <f>SPESA!S474</f>
        <v>44418.93</v>
      </c>
      <c r="H11" s="33"/>
      <c r="I11" s="13"/>
      <c r="J11" s="9"/>
      <c r="K11" s="2"/>
      <c r="L11" s="112"/>
      <c r="M11" s="112"/>
      <c r="N11" s="139"/>
    </row>
    <row r="12" spans="1:14" ht="13.5">
      <c r="A12" s="20"/>
      <c r="B12" s="9"/>
      <c r="C12" s="10"/>
      <c r="D12" s="10"/>
      <c r="E12" s="58"/>
      <c r="F12" s="58"/>
      <c r="G12" s="24"/>
      <c r="H12" s="20"/>
      <c r="I12" s="9"/>
      <c r="J12" s="570"/>
      <c r="K12" s="10"/>
      <c r="L12" s="58"/>
      <c r="M12" s="58"/>
      <c r="N12" s="139"/>
    </row>
    <row r="13" spans="1:14" ht="19.5" customHeight="1">
      <c r="A13" s="25" t="s">
        <v>293</v>
      </c>
      <c r="B13" s="51"/>
      <c r="C13" s="51">
        <f>ENTRATA!J18</f>
        <v>1523085.4700000002</v>
      </c>
      <c r="D13" s="51">
        <f>ENTRATA!K18</f>
        <v>1598683</v>
      </c>
      <c r="E13" s="106">
        <f>ENTRATA!O18</f>
        <v>2041538.9499999997</v>
      </c>
      <c r="F13" s="106">
        <f>ENTRATA!M18</f>
        <v>1610213</v>
      </c>
      <c r="G13" s="91">
        <f>ENTRATA!N18</f>
        <v>1588711</v>
      </c>
      <c r="H13" s="28" t="s">
        <v>294</v>
      </c>
      <c r="I13" s="92"/>
      <c r="J13" s="92">
        <f>SPESA!L285+SPESA!M285</f>
        <v>2621366.2800000003</v>
      </c>
      <c r="K13" s="92">
        <f>SPESA!N285+SPESA!O285</f>
        <v>2427301</v>
      </c>
      <c r="L13" s="146">
        <f>SPESA!T285</f>
        <v>2981854.05</v>
      </c>
      <c r="M13" s="106">
        <f>SPESA!P285+SPESA!Q285</f>
        <v>2088072</v>
      </c>
      <c r="N13" s="141">
        <f>SPESA!R285+SPESA!S285</f>
        <v>2142373.93</v>
      </c>
    </row>
    <row r="14" spans="1:14" ht="19.5" customHeight="1">
      <c r="A14" s="26"/>
      <c r="B14" s="14"/>
      <c r="C14" s="14"/>
      <c r="D14" s="14"/>
      <c r="E14" s="107"/>
      <c r="F14" s="107"/>
      <c r="G14" s="27"/>
      <c r="H14" s="35" t="s">
        <v>295</v>
      </c>
      <c r="I14" s="36"/>
      <c r="J14" s="231"/>
      <c r="K14" s="231"/>
      <c r="L14" s="232"/>
      <c r="M14" s="233"/>
      <c r="N14" s="275"/>
    </row>
    <row r="15" spans="1:14" ht="19.5" customHeight="1">
      <c r="A15" s="28" t="s">
        <v>296</v>
      </c>
      <c r="B15" s="51"/>
      <c r="C15" s="51">
        <f>ENTRATA!J67</f>
        <v>517691.5</v>
      </c>
      <c r="D15" s="51">
        <f>ENTRATA!K67</f>
        <v>445700</v>
      </c>
      <c r="E15" s="106">
        <f>ENTRATA!O67</f>
        <v>711075.5199999999</v>
      </c>
      <c r="F15" s="106">
        <f>ENTRATA!M67</f>
        <v>307674</v>
      </c>
      <c r="G15" s="91">
        <f>ENTRATA!N67</f>
        <v>307674</v>
      </c>
      <c r="H15" s="26"/>
      <c r="I15" s="1"/>
      <c r="J15" s="1"/>
      <c r="K15" s="1"/>
      <c r="L15" s="3"/>
      <c r="M15" s="112"/>
      <c r="N15" s="139"/>
    </row>
    <row r="16" spans="1:14" ht="13.5">
      <c r="A16" s="26"/>
      <c r="B16" s="14"/>
      <c r="C16" s="14"/>
      <c r="D16" s="14"/>
      <c r="E16" s="107"/>
      <c r="F16" s="107"/>
      <c r="G16" s="27"/>
      <c r="H16" s="26"/>
      <c r="I16" s="15"/>
      <c r="J16" s="15"/>
      <c r="K16" s="15"/>
      <c r="L16" s="64"/>
      <c r="M16" s="107"/>
      <c r="N16" s="139"/>
    </row>
    <row r="17" spans="1:14" ht="19.5" customHeight="1">
      <c r="A17" s="28" t="s">
        <v>297</v>
      </c>
      <c r="B17" s="51"/>
      <c r="C17" s="51">
        <f>ENTRATA!J103</f>
        <v>353120</v>
      </c>
      <c r="D17" s="51">
        <f>ENTRATA!K103</f>
        <v>301420</v>
      </c>
      <c r="E17" s="106">
        <f>ENTRATA!O103</f>
        <v>657036.73</v>
      </c>
      <c r="F17" s="106">
        <f>ENTRATA!M103</f>
        <v>301420</v>
      </c>
      <c r="G17" s="91">
        <f>ENTRATA!N103</f>
        <v>301420</v>
      </c>
      <c r="H17" s="26"/>
      <c r="I17" s="15"/>
      <c r="J17" s="15"/>
      <c r="K17" s="15"/>
      <c r="L17" s="64"/>
      <c r="M17" s="107"/>
      <c r="N17" s="139"/>
    </row>
    <row r="18" spans="1:14" ht="13.5">
      <c r="A18" s="26"/>
      <c r="B18" s="14"/>
      <c r="C18" s="14"/>
      <c r="D18" s="14"/>
      <c r="E18" s="107"/>
      <c r="F18" s="107"/>
      <c r="G18" s="27"/>
      <c r="H18" s="26"/>
      <c r="I18" s="15"/>
      <c r="J18" s="569"/>
      <c r="K18" s="15"/>
      <c r="L18" s="64"/>
      <c r="M18" s="107"/>
      <c r="N18" s="139"/>
    </row>
    <row r="19" spans="1:14" ht="19.5" customHeight="1">
      <c r="A19" s="28" t="s">
        <v>298</v>
      </c>
      <c r="B19" s="51"/>
      <c r="C19" s="51">
        <f>ENTRATA!J172</f>
        <v>4988369.3100000005</v>
      </c>
      <c r="D19" s="51">
        <f>ENTRATA!K172</f>
        <v>2889055</v>
      </c>
      <c r="E19" s="106">
        <f>ENTRATA!O172</f>
        <v>6057247.73</v>
      </c>
      <c r="F19" s="106">
        <f>ENTRATA!M172</f>
        <v>2048000</v>
      </c>
      <c r="G19" s="91">
        <f>ENTRATA!N172</f>
        <v>1630000</v>
      </c>
      <c r="H19" s="28" t="s">
        <v>302</v>
      </c>
      <c r="I19" s="92"/>
      <c r="J19" s="92">
        <f>SPESA!L436+SPESA!M436</f>
        <v>6596107.130000001</v>
      </c>
      <c r="K19" s="92">
        <f>SPESA!N436</f>
        <v>3051455</v>
      </c>
      <c r="L19" s="146">
        <f>SPESA!T436</f>
        <v>6594252.27</v>
      </c>
      <c r="M19" s="106">
        <f>SPESA!P436</f>
        <v>2050400</v>
      </c>
      <c r="N19" s="141">
        <f>SPESA!R436</f>
        <v>1632400</v>
      </c>
    </row>
    <row r="20" spans="1:14" ht="19.5" customHeight="1">
      <c r="A20" s="26"/>
      <c r="B20" s="14"/>
      <c r="C20" s="14"/>
      <c r="D20" s="14"/>
      <c r="E20" s="107"/>
      <c r="F20" s="107"/>
      <c r="G20" s="27"/>
      <c r="H20" s="35" t="s">
        <v>295</v>
      </c>
      <c r="I20" s="36"/>
      <c r="J20" s="231"/>
      <c r="K20" s="231"/>
      <c r="L20" s="232"/>
      <c r="M20" s="233"/>
      <c r="N20" s="275"/>
    </row>
    <row r="21" spans="1:14" ht="14.25">
      <c r="A21" s="26"/>
      <c r="B21" s="14"/>
      <c r="C21" s="14"/>
      <c r="D21" s="14"/>
      <c r="E21" s="107"/>
      <c r="F21" s="107"/>
      <c r="G21" s="27"/>
      <c r="H21" s="34"/>
      <c r="I21" s="1"/>
      <c r="J21" s="1"/>
      <c r="K21" s="1"/>
      <c r="L21" s="3"/>
      <c r="M21" s="112"/>
      <c r="N21" s="139"/>
    </row>
    <row r="22" spans="1:14" ht="19.5" customHeight="1">
      <c r="A22" s="28" t="s">
        <v>303</v>
      </c>
      <c r="B22" s="51"/>
      <c r="C22" s="51">
        <f>ENTRATA!J177</f>
        <v>350000</v>
      </c>
      <c r="D22" s="51">
        <f>ENTRATA!K177</f>
        <v>0</v>
      </c>
      <c r="E22" s="106">
        <f>ENTRATA!O177</f>
        <v>200000</v>
      </c>
      <c r="F22" s="106">
        <f>ENTRATA!M177</f>
        <v>0</v>
      </c>
      <c r="G22" s="91">
        <f>ENTRATA!N177</f>
        <v>0</v>
      </c>
      <c r="H22" s="28" t="s">
        <v>304</v>
      </c>
      <c r="I22" s="92"/>
      <c r="J22" s="92">
        <f>SPESA!L445</f>
        <v>150000</v>
      </c>
      <c r="K22" s="92">
        <f>SPESA!N445</f>
        <v>0</v>
      </c>
      <c r="L22" s="146">
        <f>SPESA!T445</f>
        <v>0</v>
      </c>
      <c r="M22" s="106">
        <f>SPESA!P445</f>
        <v>0</v>
      </c>
      <c r="N22" s="141">
        <f>SPESA!R445</f>
        <v>0</v>
      </c>
    </row>
    <row r="23" spans="1:14" ht="13.5">
      <c r="A23" s="26"/>
      <c r="B23" s="14"/>
      <c r="C23" s="14"/>
      <c r="D23" s="14"/>
      <c r="E23" s="107"/>
      <c r="F23" s="107"/>
      <c r="G23" s="27"/>
      <c r="H23" s="26"/>
      <c r="I23" s="15"/>
      <c r="J23" s="15"/>
      <c r="K23" s="15"/>
      <c r="L23" s="64"/>
      <c r="M23" s="107"/>
      <c r="N23" s="139"/>
    </row>
    <row r="24" spans="1:14" ht="13.5">
      <c r="A24" s="26"/>
      <c r="B24" s="14"/>
      <c r="C24" s="14"/>
      <c r="D24" s="14"/>
      <c r="E24" s="107"/>
      <c r="F24" s="107"/>
      <c r="G24" s="27"/>
      <c r="H24" s="26"/>
      <c r="I24" s="15"/>
      <c r="J24" s="15"/>
      <c r="K24" s="15"/>
      <c r="L24" s="64"/>
      <c r="M24" s="107"/>
      <c r="N24" s="139"/>
    </row>
    <row r="25" spans="1:14" ht="25.5" customHeight="1" thickBot="1">
      <c r="A25" s="29" t="s">
        <v>368</v>
      </c>
      <c r="B25" s="93"/>
      <c r="C25" s="93">
        <f>+C13+C15+C17+C19+C22</f>
        <v>7732266.280000001</v>
      </c>
      <c r="D25" s="93">
        <f>+D13+D15+D17+D19+D22</f>
        <v>5234858</v>
      </c>
      <c r="E25" s="93">
        <f>+E13+E15+E17+E19+E22</f>
        <v>9666898.93</v>
      </c>
      <c r="F25" s="93">
        <f>+F13+F15+F17+F19+F22</f>
        <v>4267307</v>
      </c>
      <c r="G25" s="93">
        <f>+G13+G15+G17+G19+G22</f>
        <v>3827805</v>
      </c>
      <c r="H25" s="29" t="s">
        <v>367</v>
      </c>
      <c r="I25" s="95"/>
      <c r="J25" s="95">
        <f>+J13+J19+J22</f>
        <v>9367473.41</v>
      </c>
      <c r="K25" s="95">
        <f>+K13+K19+K22</f>
        <v>5478756</v>
      </c>
      <c r="L25" s="95">
        <f>+L13+L19+L22</f>
        <v>9576106.32</v>
      </c>
      <c r="M25" s="108">
        <f>+M13+M19+M22</f>
        <v>4138472</v>
      </c>
      <c r="N25" s="94">
        <f>+N13+N19+N22</f>
        <v>3774773.93</v>
      </c>
    </row>
    <row r="26" spans="1:14" ht="12.75">
      <c r="A26" s="30"/>
      <c r="B26" s="16"/>
      <c r="C26" s="14"/>
      <c r="D26" s="15"/>
      <c r="E26" s="64"/>
      <c r="F26" s="109"/>
      <c r="G26" s="27"/>
      <c r="H26" s="30"/>
      <c r="I26" s="16"/>
      <c r="J26" s="15"/>
      <c r="K26" s="14"/>
      <c r="L26" s="107"/>
      <c r="M26" s="107"/>
      <c r="N26" s="113"/>
    </row>
    <row r="27" spans="1:14" ht="13.5">
      <c r="A27" s="26"/>
      <c r="B27" s="15"/>
      <c r="C27" s="14"/>
      <c r="D27" s="15"/>
      <c r="E27" s="64"/>
      <c r="F27" s="14"/>
      <c r="G27" s="27"/>
      <c r="H27" s="26"/>
      <c r="I27" s="15"/>
      <c r="J27" s="15"/>
      <c r="K27" s="14"/>
      <c r="L27" s="107"/>
      <c r="M27" s="107"/>
      <c r="N27" s="139"/>
    </row>
    <row r="28" spans="1:14" ht="19.5" customHeight="1">
      <c r="A28" s="28" t="s">
        <v>305</v>
      </c>
      <c r="B28" s="51"/>
      <c r="C28" s="51">
        <f>ENTRATA!J187</f>
        <v>160000</v>
      </c>
      <c r="D28" s="51">
        <f>ENTRATA!K187</f>
        <v>160000</v>
      </c>
      <c r="E28" s="106">
        <f>ENTRATA!O187</f>
        <v>178119.53</v>
      </c>
      <c r="F28" s="51">
        <f>ENTRATA!M187</f>
        <v>0</v>
      </c>
      <c r="G28" s="91">
        <f>ENTRATA!N187</f>
        <v>0</v>
      </c>
      <c r="H28" s="28" t="s">
        <v>306</v>
      </c>
      <c r="I28" s="51"/>
      <c r="J28" s="92">
        <f>SPESA!L452</f>
        <v>135515</v>
      </c>
      <c r="K28" s="92">
        <f>SPESA!N452</f>
        <v>119540</v>
      </c>
      <c r="L28" s="146">
        <f>SPESA!T452</f>
        <v>119540</v>
      </c>
      <c r="M28" s="106">
        <f>SPESA!P452</f>
        <v>128835</v>
      </c>
      <c r="N28" s="141">
        <f>SPESA!R452</f>
        <v>97450</v>
      </c>
    </row>
    <row r="29" spans="1:14" ht="13.5">
      <c r="A29" s="26"/>
      <c r="B29" s="14"/>
      <c r="C29" s="14"/>
      <c r="D29" s="14"/>
      <c r="E29" s="107"/>
      <c r="F29" s="14"/>
      <c r="G29" s="27"/>
      <c r="H29" s="26"/>
      <c r="I29" s="14"/>
      <c r="J29" s="15"/>
      <c r="K29" s="15"/>
      <c r="L29" s="64"/>
      <c r="M29" s="107"/>
      <c r="N29" s="139"/>
    </row>
    <row r="30" spans="1:14" ht="19.5" customHeight="1">
      <c r="A30" s="28" t="s">
        <v>307</v>
      </c>
      <c r="B30" s="51"/>
      <c r="C30" s="51">
        <f>ENTRATA!J192</f>
        <v>900000</v>
      </c>
      <c r="D30" s="51">
        <f>ENTRATA!K192</f>
        <v>900000</v>
      </c>
      <c r="E30" s="106">
        <f>ENTRATA!O192</f>
        <v>900000</v>
      </c>
      <c r="F30" s="51">
        <f>ENTRATA!M192</f>
        <v>900000</v>
      </c>
      <c r="G30" s="91">
        <f>ENTRATA!N192</f>
        <v>900000</v>
      </c>
      <c r="H30" s="28" t="s">
        <v>308</v>
      </c>
      <c r="I30" s="51"/>
      <c r="J30" s="92">
        <f>SPESA!L457</f>
        <v>900000</v>
      </c>
      <c r="K30" s="92">
        <f>SPESA!N457</f>
        <v>900000</v>
      </c>
      <c r="L30" s="146">
        <f>SPESA!T457</f>
        <v>900000</v>
      </c>
      <c r="M30" s="106">
        <f>SPESA!P457</f>
        <v>900000</v>
      </c>
      <c r="N30" s="141">
        <f>SPESA!R456</f>
        <v>900000</v>
      </c>
    </row>
    <row r="31" spans="1:14" ht="13.5">
      <c r="A31" s="26"/>
      <c r="B31" s="14"/>
      <c r="C31" s="14"/>
      <c r="D31" s="14"/>
      <c r="E31" s="107"/>
      <c r="F31" s="14"/>
      <c r="G31" s="27"/>
      <c r="H31" s="26"/>
      <c r="I31" s="14"/>
      <c r="J31" s="15"/>
      <c r="K31" s="15"/>
      <c r="L31" s="64"/>
      <c r="M31" s="107"/>
      <c r="N31" s="139"/>
    </row>
    <row r="32" spans="1:14" ht="19.5" customHeight="1">
      <c r="A32" s="28" t="s">
        <v>309</v>
      </c>
      <c r="B32" s="51"/>
      <c r="C32" s="51">
        <f>ENTRATA!J208</f>
        <v>815200</v>
      </c>
      <c r="D32" s="51">
        <f>ENTRATA!K208</f>
        <v>815200</v>
      </c>
      <c r="E32" s="106">
        <f>ENTRATA!O208</f>
        <v>992750.3200000001</v>
      </c>
      <c r="F32" s="51">
        <f>ENTRATA!M208</f>
        <v>815200</v>
      </c>
      <c r="G32" s="91">
        <f>ENTRATA!N208</f>
        <v>815200</v>
      </c>
      <c r="H32" s="28" t="s">
        <v>310</v>
      </c>
      <c r="I32" s="51"/>
      <c r="J32" s="92">
        <f>SPESA!L472</f>
        <v>815200</v>
      </c>
      <c r="K32" s="92">
        <f>SPESA!N472</f>
        <v>815200</v>
      </c>
      <c r="L32" s="146">
        <f>SPESA!T472</f>
        <v>1069385.6</v>
      </c>
      <c r="M32" s="106">
        <f>SPESA!P472</f>
        <v>815200</v>
      </c>
      <c r="N32" s="141">
        <f>SPESA!R472</f>
        <v>815200</v>
      </c>
    </row>
    <row r="33" spans="1:14" ht="13.5">
      <c r="A33" s="26"/>
      <c r="B33" s="14"/>
      <c r="C33" s="14"/>
      <c r="D33" s="15"/>
      <c r="E33" s="64"/>
      <c r="F33" s="14"/>
      <c r="G33" s="27"/>
      <c r="H33" s="26"/>
      <c r="I33" s="14"/>
      <c r="J33" s="15"/>
      <c r="K33" s="15"/>
      <c r="L33" s="64"/>
      <c r="M33" s="107"/>
      <c r="N33" s="139"/>
    </row>
    <row r="34" spans="1:14" ht="15" thickBot="1">
      <c r="A34" s="29" t="s">
        <v>311</v>
      </c>
      <c r="B34" s="93"/>
      <c r="C34" s="93">
        <f>+C25+C28+C30+C32</f>
        <v>9607466.280000001</v>
      </c>
      <c r="D34" s="93">
        <f>+D25+D28+D30+D32</f>
        <v>7110058</v>
      </c>
      <c r="E34" s="93">
        <f>+E25+E28+E30+E32</f>
        <v>11737768.78</v>
      </c>
      <c r="F34" s="93">
        <f>+F25+F28+F30+F32</f>
        <v>5982507</v>
      </c>
      <c r="G34" s="94">
        <f>+G25+G28+G30+G32</f>
        <v>5543005</v>
      </c>
      <c r="H34" s="29" t="s">
        <v>311</v>
      </c>
      <c r="I34" s="93">
        <f aca="true" t="shared" si="0" ref="I34:N34">+I25+I28+I30+I32</f>
        <v>0</v>
      </c>
      <c r="J34" s="93">
        <f t="shared" si="0"/>
        <v>11218188.41</v>
      </c>
      <c r="K34" s="93">
        <f t="shared" si="0"/>
        <v>7313496</v>
      </c>
      <c r="L34" s="93">
        <f t="shared" si="0"/>
        <v>11665031.92</v>
      </c>
      <c r="M34" s="108">
        <f t="shared" si="0"/>
        <v>5982507</v>
      </c>
      <c r="N34" s="94">
        <f t="shared" si="0"/>
        <v>5587423.93</v>
      </c>
    </row>
    <row r="35" spans="1:14" ht="12.75">
      <c r="A35" s="31"/>
      <c r="B35" s="64"/>
      <c r="C35" s="64"/>
      <c r="D35" s="64"/>
      <c r="E35" s="64"/>
      <c r="F35" s="64"/>
      <c r="G35" s="64"/>
      <c r="H35" s="17"/>
      <c r="I35" s="64"/>
      <c r="J35" s="64"/>
      <c r="K35" s="64"/>
      <c r="L35" s="64"/>
      <c r="M35" s="64"/>
      <c r="N35" s="17"/>
    </row>
    <row r="36" spans="1:14" ht="12.75">
      <c r="A36" s="31"/>
      <c r="B36" s="61"/>
      <c r="C36" s="61"/>
      <c r="D36" s="61"/>
      <c r="E36" s="61"/>
      <c r="F36" s="61"/>
      <c r="G36" s="61"/>
      <c r="H36" s="17"/>
      <c r="I36" s="61"/>
      <c r="J36" s="61"/>
      <c r="K36" s="61"/>
      <c r="L36" s="61"/>
      <c r="M36" s="61"/>
      <c r="N36" s="52"/>
    </row>
    <row r="37" spans="1:14" ht="36" customHeight="1" thickBot="1">
      <c r="A37" s="29" t="s">
        <v>312</v>
      </c>
      <c r="B37" s="115">
        <f>+B34+B7</f>
        <v>0</v>
      </c>
      <c r="C37" s="115">
        <f>+C9+C11+C34</f>
        <v>11218188.41</v>
      </c>
      <c r="D37" s="115">
        <f>+D34+D9+D11</f>
        <v>7110058</v>
      </c>
      <c r="E37" s="93">
        <f>E7+E34</f>
        <v>13199949.139999999</v>
      </c>
      <c r="F37" s="93">
        <f>+F34+F9+F11</f>
        <v>5982507</v>
      </c>
      <c r="G37" s="93">
        <f>+G34+G9+G11</f>
        <v>5587423.93</v>
      </c>
      <c r="H37" s="29" t="s">
        <v>313</v>
      </c>
      <c r="I37" s="93">
        <f>+I34</f>
        <v>0</v>
      </c>
      <c r="J37" s="93">
        <f>+J34+J9</f>
        <v>11218188.41</v>
      </c>
      <c r="K37" s="93">
        <f>+K34+K9</f>
        <v>7313496</v>
      </c>
      <c r="L37" s="93">
        <f>+L34+L9</f>
        <v>11665031.92</v>
      </c>
      <c r="M37" s="108">
        <f>+M34+M9</f>
        <v>5982507</v>
      </c>
      <c r="N37" s="94">
        <f>+N34+N9</f>
        <v>5587423.93</v>
      </c>
    </row>
    <row r="38" spans="1:14" ht="27.75" customHeight="1" thickBot="1">
      <c r="A38" s="111" t="s">
        <v>363</v>
      </c>
      <c r="B38" s="114">
        <f>+B37-I37</f>
        <v>0</v>
      </c>
      <c r="C38" s="234"/>
      <c r="D38" s="235"/>
      <c r="E38" s="110">
        <f>+E37-L37</f>
        <v>1534917.2199999988</v>
      </c>
      <c r="F38" s="3"/>
      <c r="G38" s="3"/>
      <c r="H38" s="17"/>
      <c r="I38" s="17"/>
      <c r="J38" s="78">
        <f>C37-J37</f>
        <v>0</v>
      </c>
      <c r="K38" s="78">
        <f>D37-K37</f>
        <v>-203438</v>
      </c>
      <c r="L38" s="78"/>
      <c r="M38" s="78">
        <f>F37-M37</f>
        <v>0</v>
      </c>
      <c r="N38" s="78">
        <f>G37-N37</f>
        <v>0</v>
      </c>
    </row>
    <row r="40" spans="1:14" s="79" customFormat="1" ht="24.75" customHeight="1">
      <c r="A40" s="1329"/>
      <c r="B40" s="1329"/>
      <c r="C40" s="147"/>
      <c r="D40" s="147"/>
      <c r="E40" s="1083"/>
      <c r="F40" s="147"/>
      <c r="G40" s="147"/>
      <c r="H40" s="1332" t="s">
        <v>178</v>
      </c>
      <c r="I40" s="1333"/>
      <c r="J40" s="80">
        <f>C13+C15+C17+ENTRATA!J211+ENTRATA!J213</f>
        <v>2759281.2800000003</v>
      </c>
      <c r="K40" s="80">
        <f>D13+D15+D17</f>
        <v>2345803</v>
      </c>
      <c r="L40" s="147"/>
      <c r="M40" s="80">
        <f>F13+F15+F17</f>
        <v>2219307</v>
      </c>
      <c r="N40" s="80">
        <f>G13+G15+G17</f>
        <v>2197805</v>
      </c>
    </row>
    <row r="41" spans="1:14" s="79" customFormat="1" ht="24.75" customHeight="1">
      <c r="A41" s="1329"/>
      <c r="B41" s="1329"/>
      <c r="C41" s="147"/>
      <c r="D41" s="147"/>
      <c r="E41" s="1085"/>
      <c r="F41" s="147"/>
      <c r="G41" s="147"/>
      <c r="H41" s="1332" t="s">
        <v>179</v>
      </c>
      <c r="I41" s="1333"/>
      <c r="J41" s="80">
        <f>J13</f>
        <v>2621366.2800000003</v>
      </c>
      <c r="K41" s="80">
        <f>SPESA!N285</f>
        <v>2223863</v>
      </c>
      <c r="L41" s="147"/>
      <c r="M41" s="80">
        <f>SPESA!P285</f>
        <v>2088072</v>
      </c>
      <c r="N41" s="80">
        <f>SPESA!R285</f>
        <v>2097955</v>
      </c>
    </row>
    <row r="42" spans="1:14" s="79" customFormat="1" ht="24.75" customHeight="1">
      <c r="A42" s="1330"/>
      <c r="B42" s="1330"/>
      <c r="C42" s="147"/>
      <c r="D42" s="147"/>
      <c r="E42" s="1084"/>
      <c r="F42" s="147"/>
      <c r="G42" s="147"/>
      <c r="H42" s="102" t="s">
        <v>229</v>
      </c>
      <c r="I42" s="103"/>
      <c r="J42" s="80">
        <f>J28</f>
        <v>135515</v>
      </c>
      <c r="K42" s="80">
        <f>K28</f>
        <v>119540</v>
      </c>
      <c r="L42" s="147"/>
      <c r="M42" s="80">
        <f>M28</f>
        <v>128835</v>
      </c>
      <c r="N42" s="80">
        <f>N28</f>
        <v>97450</v>
      </c>
    </row>
    <row r="43" spans="1:14" s="79" customFormat="1" ht="24.75" customHeight="1">
      <c r="A43" s="150"/>
      <c r="B43" s="150"/>
      <c r="C43" s="150"/>
      <c r="D43" s="150"/>
      <c r="E43" s="150"/>
      <c r="F43" s="150"/>
      <c r="G43" s="150"/>
      <c r="H43" s="102" t="s">
        <v>230</v>
      </c>
      <c r="I43" s="103"/>
      <c r="J43" s="101">
        <f>J40-J41-J42</f>
        <v>2400</v>
      </c>
      <c r="K43" s="101">
        <f>K40-K41-K42</f>
        <v>2400</v>
      </c>
      <c r="L43" s="78"/>
      <c r="M43" s="101">
        <f>M40-M41-M42</f>
        <v>2400</v>
      </c>
      <c r="N43" s="101">
        <f>N40-N41-N42</f>
        <v>2400</v>
      </c>
    </row>
    <row r="44" spans="1:12" s="217" customFormat="1" ht="24.75" customHeight="1">
      <c r="A44" s="1331"/>
      <c r="B44" s="1331"/>
      <c r="C44" s="219"/>
      <c r="D44" s="219"/>
      <c r="E44" s="219"/>
      <c r="F44" s="219"/>
      <c r="G44" s="219"/>
      <c r="L44" s="218"/>
    </row>
    <row r="45" spans="8:14" s="136" customFormat="1" ht="24.75" customHeight="1">
      <c r="H45" s="1328" t="s">
        <v>2</v>
      </c>
      <c r="I45" s="1328"/>
      <c r="J45" s="137">
        <f>J38-J43</f>
        <v>-2400</v>
      </c>
      <c r="K45" s="137">
        <f>K38-K43</f>
        <v>-205838</v>
      </c>
      <c r="L45" s="148"/>
      <c r="M45" s="137">
        <f>M38-M43</f>
        <v>-2400</v>
      </c>
      <c r="N45" s="137">
        <f>N38-N43</f>
        <v>-2400</v>
      </c>
    </row>
    <row r="46" ht="12.75">
      <c r="L46" s="17"/>
    </row>
    <row r="47" spans="8:14" ht="24.75" customHeight="1">
      <c r="H47" s="1327" t="s">
        <v>454</v>
      </c>
      <c r="I47" s="1327"/>
      <c r="J47" s="135">
        <v>0</v>
      </c>
      <c r="K47" s="138"/>
      <c r="L47" s="17"/>
      <c r="M47" s="138"/>
      <c r="N47" s="138"/>
    </row>
    <row r="48" spans="8:14" ht="24.75" customHeight="1">
      <c r="H48" s="1327" t="s">
        <v>180</v>
      </c>
      <c r="I48" s="1327"/>
      <c r="J48" s="135">
        <v>0</v>
      </c>
      <c r="K48" s="138"/>
      <c r="L48" s="17"/>
      <c r="M48" s="138"/>
      <c r="N48" s="138"/>
    </row>
    <row r="49" spans="8:10" ht="24.75" customHeight="1">
      <c r="H49" s="134"/>
      <c r="I49" s="134"/>
      <c r="J49" s="133"/>
    </row>
    <row r="50" ht="24.75" customHeight="1">
      <c r="J50" s="237"/>
    </row>
    <row r="51" ht="24.75" customHeight="1">
      <c r="J51" s="237"/>
    </row>
    <row r="52" ht="24.75" customHeight="1">
      <c r="J52" s="237"/>
    </row>
    <row r="53" ht="12.75">
      <c r="J53" s="237"/>
    </row>
  </sheetData>
  <sheetProtection/>
  <mergeCells count="11">
    <mergeCell ref="A1:M1"/>
    <mergeCell ref="A3:M3"/>
    <mergeCell ref="H47:I47"/>
    <mergeCell ref="H48:I48"/>
    <mergeCell ref="H45:I45"/>
    <mergeCell ref="A40:B40"/>
    <mergeCell ref="A41:B41"/>
    <mergeCell ref="A42:B42"/>
    <mergeCell ref="A44:B44"/>
    <mergeCell ref="H40:I40"/>
    <mergeCell ref="H41:I41"/>
  </mergeCells>
  <printOptions horizontalCentered="1"/>
  <pageMargins left="0" right="0" top="0.5905511811023623" bottom="0.5905511811023623" header="0.5118110236220472" footer="0.5118110236220472"/>
  <pageSetup horizontalDpi="600" verticalDpi="600" orientation="landscape" paperSize="8" scale="54" r:id="rId1"/>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B1:F17"/>
  <sheetViews>
    <sheetView showGridLines="0" zoomScale="80" zoomScaleNormal="80" zoomScaleSheetLayoutView="80" zoomScalePageLayoutView="0" workbookViewId="0" topLeftCell="A2">
      <selection activeCell="D16" sqref="D16:D17"/>
    </sheetView>
  </sheetViews>
  <sheetFormatPr defaultColWidth="9.140625" defaultRowHeight="12.75"/>
  <cols>
    <col min="1" max="1" width="2.57421875" style="4" customWidth="1"/>
    <col min="2" max="2" width="98.57421875" style="38" customWidth="1"/>
    <col min="3" max="6" width="20.7109375" style="4" customWidth="1"/>
    <col min="7" max="7" width="10.421875" style="4" customWidth="1"/>
    <col min="8" max="16384" width="9.140625" style="4" customWidth="1"/>
  </cols>
  <sheetData>
    <row r="1" spans="2:5" ht="32.25" customHeight="1" thickBot="1">
      <c r="B1" s="1336" t="s">
        <v>314</v>
      </c>
      <c r="C1" s="1336"/>
      <c r="D1" s="1336"/>
      <c r="E1" s="1336"/>
    </row>
    <row r="2" spans="2:6" ht="34.5" customHeight="1">
      <c r="B2" s="238"/>
      <c r="C2" s="239" t="s">
        <v>628</v>
      </c>
      <c r="D2" s="240" t="s">
        <v>691</v>
      </c>
      <c r="E2" s="240" t="s">
        <v>913</v>
      </c>
      <c r="F2" s="241" t="s">
        <v>1008</v>
      </c>
    </row>
    <row r="3" spans="2:6" ht="24.75" customHeight="1">
      <c r="B3" s="1337" t="s">
        <v>249</v>
      </c>
      <c r="C3" s="1338"/>
      <c r="D3" s="1338"/>
      <c r="E3" s="1338"/>
      <c r="F3" s="1339"/>
    </row>
    <row r="4" spans="2:6" s="134" customFormat="1" ht="24.75" customHeight="1">
      <c r="B4" s="173" t="s">
        <v>315</v>
      </c>
      <c r="C4" s="174">
        <f>ENTRATA!J211</f>
        <v>328139.42</v>
      </c>
      <c r="D4" s="174">
        <f>ENTRATA!K211</f>
        <v>0</v>
      </c>
      <c r="E4" s="242">
        <f>ENTRATA!M211</f>
        <v>0</v>
      </c>
      <c r="F4" s="175">
        <f>ENTRATA!N211</f>
        <v>0</v>
      </c>
    </row>
    <row r="5" spans="2:6" s="176" customFormat="1" ht="24.75" customHeight="1">
      <c r="B5" s="177" t="s">
        <v>316</v>
      </c>
      <c r="C5" s="1147">
        <f>ENTRATA!J213</f>
        <v>37244.89</v>
      </c>
      <c r="D5" s="178">
        <f>ENTRATA!K213</f>
        <v>0</v>
      </c>
      <c r="E5" s="243">
        <f>ENTRATA!M213</f>
        <v>0</v>
      </c>
      <c r="F5" s="179">
        <f>ENTRATA!N213</f>
        <v>0</v>
      </c>
    </row>
    <row r="6" spans="2:6" ht="24.75" customHeight="1">
      <c r="B6" s="151" t="s">
        <v>138</v>
      </c>
      <c r="C6" s="180">
        <f>ENTRATA!J18</f>
        <v>1523085.4700000002</v>
      </c>
      <c r="D6" s="180">
        <f>ENTRATA!K18</f>
        <v>1598683</v>
      </c>
      <c r="E6" s="244">
        <f>ENTRATA!M18</f>
        <v>1610213</v>
      </c>
      <c r="F6" s="181">
        <f>ENTRATA!N18</f>
        <v>1588711</v>
      </c>
    </row>
    <row r="7" spans="2:6" ht="24.75" customHeight="1">
      <c r="B7" s="152" t="s">
        <v>139</v>
      </c>
      <c r="C7" s="180">
        <f>ENTRATA!J67</f>
        <v>517691.5</v>
      </c>
      <c r="D7" s="180">
        <f>ENTRATA!K67</f>
        <v>445700</v>
      </c>
      <c r="E7" s="244">
        <f>ENTRATA!M67</f>
        <v>307674</v>
      </c>
      <c r="F7" s="181">
        <f>ENTRATA!N67</f>
        <v>307674</v>
      </c>
    </row>
    <row r="8" spans="2:6" ht="24.75" customHeight="1">
      <c r="B8" s="152" t="s">
        <v>140</v>
      </c>
      <c r="C8" s="182">
        <f>ENTRATA!J103</f>
        <v>353120</v>
      </c>
      <c r="D8" s="182">
        <f>ENTRATA!K103</f>
        <v>301420</v>
      </c>
      <c r="E8" s="245">
        <f>ENTRATA!M103</f>
        <v>301420</v>
      </c>
      <c r="F8" s="183">
        <f>ENTRATA!N103</f>
        <v>301420</v>
      </c>
    </row>
    <row r="9" spans="2:6" s="1115" customFormat="1" ht="24.75" customHeight="1">
      <c r="B9" s="1113" t="s">
        <v>1011</v>
      </c>
      <c r="C9" s="1112">
        <f>ENTRATA!J100</f>
        <v>2400</v>
      </c>
      <c r="D9" s="1112">
        <f>ENTRATA!K100</f>
        <v>2400</v>
      </c>
      <c r="E9" s="1112">
        <f>ENTRATA!M100</f>
        <v>2400</v>
      </c>
      <c r="F9" s="1114">
        <f>ENTRATA!N100</f>
        <v>2400</v>
      </c>
    </row>
    <row r="10" spans="2:6" s="159" customFormat="1" ht="24.75" customHeight="1" thickBot="1">
      <c r="B10" s="166" t="s">
        <v>142</v>
      </c>
      <c r="C10" s="167">
        <f>SUM(C4:C8)-C9</f>
        <v>2756881.2800000003</v>
      </c>
      <c r="D10" s="167">
        <f>SUM(D4:D8)-D9</f>
        <v>2343403</v>
      </c>
      <c r="E10" s="167">
        <f>SUM(E4:E8)-E9</f>
        <v>2216907</v>
      </c>
      <c r="F10" s="168">
        <f>SUM(F4:F8)-F9</f>
        <v>2195405</v>
      </c>
    </row>
    <row r="11" spans="2:6" ht="24.75" customHeight="1">
      <c r="B11" s="1340" t="s">
        <v>250</v>
      </c>
      <c r="C11" s="1341"/>
      <c r="D11" s="1341"/>
      <c r="E11" s="1341"/>
      <c r="F11" s="1342"/>
    </row>
    <row r="12" spans="2:6" ht="24.75" customHeight="1">
      <c r="B12" s="152" t="s">
        <v>658</v>
      </c>
      <c r="C12" s="184">
        <f>SPESA!L285+SPESA!M285</f>
        <v>2621366.2800000003</v>
      </c>
      <c r="D12" s="184">
        <f>SPESA!N285</f>
        <v>2223863</v>
      </c>
      <c r="E12" s="248">
        <f>SPESA!P285</f>
        <v>2088072</v>
      </c>
      <c r="F12" s="249">
        <f>SPESA!R285</f>
        <v>2097955</v>
      </c>
    </row>
    <row r="13" spans="2:6" ht="24.75" customHeight="1">
      <c r="B13" s="152" t="s">
        <v>226</v>
      </c>
      <c r="C13" s="182">
        <f>SPESA!L452</f>
        <v>135515</v>
      </c>
      <c r="D13" s="182">
        <f>SPESA!N452</f>
        <v>119540</v>
      </c>
      <c r="E13" s="245">
        <f>SPESA!P452</f>
        <v>128835</v>
      </c>
      <c r="F13" s="183">
        <f>SPESA!R452</f>
        <v>97450</v>
      </c>
    </row>
    <row r="14" spans="2:6" s="172" customFormat="1" ht="24.75" customHeight="1">
      <c r="B14" s="169" t="s">
        <v>143</v>
      </c>
      <c r="C14" s="170">
        <f>SUM(C12:C13)</f>
        <v>2756881.2800000003</v>
      </c>
      <c r="D14" s="170">
        <f>SUM(D12:D13)</f>
        <v>2343403</v>
      </c>
      <c r="E14" s="246">
        <f>SUM(E12:E13)</f>
        <v>2216907</v>
      </c>
      <c r="F14" s="171">
        <f>SUM(F12:F13)</f>
        <v>2195405</v>
      </c>
    </row>
    <row r="15" spans="2:6" s="159" customFormat="1" ht="24.75" customHeight="1" thickBot="1">
      <c r="B15" s="160" t="s">
        <v>144</v>
      </c>
      <c r="C15" s="161">
        <f>C10-C14</f>
        <v>0</v>
      </c>
      <c r="D15" s="161">
        <f>D10-D14</f>
        <v>0</v>
      </c>
      <c r="E15" s="247">
        <f>E10-E14</f>
        <v>0</v>
      </c>
      <c r="F15" s="162">
        <f>F10-F14</f>
        <v>0</v>
      </c>
    </row>
    <row r="16" spans="4:6" ht="24.75" customHeight="1">
      <c r="D16" s="237"/>
      <c r="E16" s="237"/>
      <c r="F16" s="237"/>
    </row>
    <row r="17" spans="3:6" ht="24.75" customHeight="1">
      <c r="C17" s="211"/>
      <c r="D17" s="237"/>
      <c r="E17" s="237"/>
      <c r="F17" s="237"/>
    </row>
    <row r="18" ht="24.75" customHeight="1"/>
    <row r="19" ht="24.75" customHeight="1"/>
    <row r="20" ht="34.5" customHeight="1"/>
    <row r="21" ht="34.5" customHeight="1"/>
    <row r="22" ht="34.5" customHeight="1"/>
    <row r="23" ht="34.5" customHeight="1"/>
  </sheetData>
  <sheetProtection/>
  <mergeCells count="3">
    <mergeCell ref="B1:E1"/>
    <mergeCell ref="B3:F3"/>
    <mergeCell ref="B11:F11"/>
  </mergeCells>
  <printOptions horizontalCentered="1" verticalCentered="1"/>
  <pageMargins left="0" right="0" top="0.984251968503937" bottom="0.984251968503937" header="0.5118110236220472" footer="0.5118110236220472"/>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E21"/>
  <sheetViews>
    <sheetView showGridLines="0" zoomScale="90" zoomScaleNormal="90" zoomScaleSheetLayoutView="70" zoomScalePageLayoutView="0" workbookViewId="0" topLeftCell="A3">
      <selection activeCell="C16" sqref="C16"/>
    </sheetView>
  </sheetViews>
  <sheetFormatPr defaultColWidth="9.140625" defaultRowHeight="12.75"/>
  <cols>
    <col min="1" max="1" width="101.8515625" style="38" customWidth="1"/>
    <col min="2" max="5" width="20.7109375" style="4" customWidth="1"/>
    <col min="6" max="6" width="10.421875" style="4" customWidth="1"/>
    <col min="7" max="16384" width="9.140625" style="4" customWidth="1"/>
  </cols>
  <sheetData>
    <row r="1" spans="1:4" ht="32.25" customHeight="1" thickBot="1">
      <c r="A1" s="1336" t="s">
        <v>320</v>
      </c>
      <c r="B1" s="1336"/>
      <c r="C1" s="1336"/>
      <c r="D1" s="1336"/>
    </row>
    <row r="2" spans="1:5" ht="34.5" customHeight="1">
      <c r="A2" s="155"/>
      <c r="B2" s="239" t="s">
        <v>628</v>
      </c>
      <c r="C2" s="240" t="s">
        <v>691</v>
      </c>
      <c r="D2" s="241" t="s">
        <v>913</v>
      </c>
      <c r="E2" s="241" t="s">
        <v>1008</v>
      </c>
    </row>
    <row r="3" spans="1:5" ht="24.75" customHeight="1">
      <c r="A3" s="1337" t="s">
        <v>249</v>
      </c>
      <c r="B3" s="1338"/>
      <c r="C3" s="1338"/>
      <c r="D3" s="1338"/>
      <c r="E3" s="1339"/>
    </row>
    <row r="4" spans="1:5" s="134" customFormat="1" ht="24.75" customHeight="1">
      <c r="A4" s="173" t="s">
        <v>317</v>
      </c>
      <c r="B4" s="174">
        <f>ENTRATA!J212</f>
        <v>1126337.82</v>
      </c>
      <c r="C4" s="185">
        <f>ENTRATA!K212</f>
        <v>0</v>
      </c>
      <c r="D4" s="186">
        <f>ENTRATA!M212</f>
        <v>0</v>
      </c>
      <c r="E4" s="186">
        <f>ENTRATA!N212</f>
        <v>0</v>
      </c>
    </row>
    <row r="5" spans="1:5" s="176" customFormat="1" ht="24.75" customHeight="1">
      <c r="A5" s="177" t="s">
        <v>318</v>
      </c>
      <c r="B5" s="187">
        <f>ENTRATA!J214</f>
        <v>119000</v>
      </c>
      <c r="C5" s="1070">
        <f>ENTRATA!K214</f>
        <v>0</v>
      </c>
      <c r="D5" s="1071">
        <f>ENTRATA!M214</f>
        <v>0</v>
      </c>
      <c r="E5" s="1071">
        <f>ENTRATA!N214</f>
        <v>0</v>
      </c>
    </row>
    <row r="6" spans="1:5" ht="24.75" customHeight="1">
      <c r="A6" s="152" t="s">
        <v>319</v>
      </c>
      <c r="B6" s="188">
        <f>ENTRATA!J172</f>
        <v>4988369.3100000005</v>
      </c>
      <c r="C6" s="189">
        <f>ENTRATA!K172</f>
        <v>2889055</v>
      </c>
      <c r="D6" s="190">
        <f>ENTRATA!M172</f>
        <v>2048000</v>
      </c>
      <c r="E6" s="190">
        <f>ENTRATA!N172</f>
        <v>1630000</v>
      </c>
    </row>
    <row r="7" spans="1:5" ht="24.75" customHeight="1">
      <c r="A7" s="164" t="s">
        <v>141</v>
      </c>
      <c r="B7" s="1052">
        <f>ENTRATA!J177</f>
        <v>350000</v>
      </c>
      <c r="C7" s="1052">
        <f>ENTRATA!K177</f>
        <v>0</v>
      </c>
      <c r="D7" s="1053">
        <f>ENTRATA!M177</f>
        <v>0</v>
      </c>
      <c r="E7" s="1053">
        <f>ENTRATA!N177</f>
        <v>0</v>
      </c>
    </row>
    <row r="8" spans="1:5" ht="24.75" customHeight="1">
      <c r="A8" s="164" t="s">
        <v>223</v>
      </c>
      <c r="B8" s="1052">
        <f>ENTRATA!J187</f>
        <v>160000</v>
      </c>
      <c r="C8" s="1052">
        <f>ENTRATA!K187</f>
        <v>160000</v>
      </c>
      <c r="D8" s="1053">
        <f>ENTRATA!M187</f>
        <v>0</v>
      </c>
      <c r="E8" s="1053">
        <f>ENTRATA!N187</f>
        <v>0</v>
      </c>
    </row>
    <row r="9" spans="1:5" ht="24.75" customHeight="1">
      <c r="A9" s="1113" t="s">
        <v>1010</v>
      </c>
      <c r="B9" s="1203">
        <f>'PAREGGIO PARTE CORRENTE'!C9</f>
        <v>2400</v>
      </c>
      <c r="C9" s="1203">
        <f>'PAREGGIO PARTE CORRENTE'!D9</f>
        <v>2400</v>
      </c>
      <c r="D9" s="1203">
        <f>'PAREGGIO PARTE CORRENTE'!E9</f>
        <v>2400</v>
      </c>
      <c r="E9" s="1204">
        <f>'PAREGGIO PARTE CORRENTE'!F9</f>
        <v>2400</v>
      </c>
    </row>
    <row r="10" spans="1:5" s="159" customFormat="1" ht="24.75" customHeight="1" thickBot="1">
      <c r="A10" s="166" t="s">
        <v>142</v>
      </c>
      <c r="B10" s="168">
        <f>SUM(B4:B9)</f>
        <v>6746107.130000001</v>
      </c>
      <c r="C10" s="168">
        <f>SUM(C4:C9)</f>
        <v>3051455</v>
      </c>
      <c r="D10" s="168">
        <f>SUM(D4:D9)</f>
        <v>2050400</v>
      </c>
      <c r="E10" s="168">
        <f>SUM(E4:E9)</f>
        <v>1632400</v>
      </c>
    </row>
    <row r="11" spans="1:5" ht="24.75" customHeight="1" thickBot="1">
      <c r="A11" s="1343" t="s">
        <v>250</v>
      </c>
      <c r="B11" s="1344"/>
      <c r="C11" s="1344"/>
      <c r="D11" s="1344"/>
      <c r="E11" s="1344"/>
    </row>
    <row r="12" spans="1:5" ht="24.75" customHeight="1">
      <c r="A12" s="1054" t="s">
        <v>629</v>
      </c>
      <c r="B12" s="1055">
        <f>SPESA!L436+SPESA!M436</f>
        <v>6596107.130000001</v>
      </c>
      <c r="C12" s="1055">
        <f>SPESA!N436</f>
        <v>3051455</v>
      </c>
      <c r="D12" s="1056">
        <f>SPESA!P436</f>
        <v>2050400</v>
      </c>
      <c r="E12" s="1056">
        <f>SPESA!R436</f>
        <v>1632400</v>
      </c>
    </row>
    <row r="13" spans="1:5" ht="24.75" customHeight="1">
      <c r="A13" s="152" t="s">
        <v>328</v>
      </c>
      <c r="B13" s="191">
        <f>SPESA!L445</f>
        <v>150000</v>
      </c>
      <c r="C13" s="191">
        <f>SPESA!N445</f>
        <v>0</v>
      </c>
      <c r="D13" s="192">
        <f>SPESA!P445</f>
        <v>0</v>
      </c>
      <c r="E13" s="192">
        <f>SPESA!R445</f>
        <v>0</v>
      </c>
    </row>
    <row r="14" spans="1:5" s="172" customFormat="1" ht="24.75" customHeight="1">
      <c r="A14" s="169" t="s">
        <v>143</v>
      </c>
      <c r="B14" s="170">
        <f>SUM(B12+B13)</f>
        <v>6746107.130000001</v>
      </c>
      <c r="C14" s="170">
        <f>SUM(C12+C13)</f>
        <v>3051455</v>
      </c>
      <c r="D14" s="170">
        <f>SUM(D12+D13)</f>
        <v>2050400</v>
      </c>
      <c r="E14" s="171">
        <f>SUM(E12+E13)</f>
        <v>1632400</v>
      </c>
    </row>
    <row r="15" spans="1:5" s="159" customFormat="1" ht="24.75" customHeight="1" thickBot="1">
      <c r="A15" s="160" t="s">
        <v>144</v>
      </c>
      <c r="B15" s="161">
        <f>B10-B14</f>
        <v>0</v>
      </c>
      <c r="C15" s="161">
        <f>C10-C14</f>
        <v>0</v>
      </c>
      <c r="D15" s="162">
        <f>D10-D14</f>
        <v>0</v>
      </c>
      <c r="E15" s="162">
        <f>E10-E14</f>
        <v>0</v>
      </c>
    </row>
    <row r="16" spans="2:5" ht="24.75" customHeight="1">
      <c r="B16" s="1145"/>
      <c r="C16" s="237"/>
      <c r="D16" s="237"/>
      <c r="E16" s="237"/>
    </row>
    <row r="17" spans="2:5" ht="24.75" customHeight="1">
      <c r="B17" s="1145"/>
      <c r="C17" s="237"/>
      <c r="D17" s="237"/>
      <c r="E17" s="237"/>
    </row>
    <row r="18" spans="3:5" ht="24.75" customHeight="1">
      <c r="C18" s="237"/>
      <c r="D18" s="237"/>
      <c r="E18" s="237"/>
    </row>
    <row r="19" ht="24.75" customHeight="1">
      <c r="C19" s="237"/>
    </row>
    <row r="20" ht="34.5" customHeight="1">
      <c r="C20" s="237"/>
    </row>
    <row r="21" ht="34.5" customHeight="1">
      <c r="C21" s="237"/>
    </row>
    <row r="22" ht="34.5" customHeight="1"/>
    <row r="23" ht="34.5" customHeight="1"/>
  </sheetData>
  <sheetProtection/>
  <mergeCells count="3">
    <mergeCell ref="A1:D1"/>
    <mergeCell ref="A3:E3"/>
    <mergeCell ref="A11:E11"/>
  </mergeCells>
  <printOptions horizontalCentered="1" verticalCentered="1"/>
  <pageMargins left="0" right="0" top="0.984251968503937" bottom="0.984251968503937" header="0.5118110236220472" footer="0.5118110236220472"/>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E30"/>
  <sheetViews>
    <sheetView showGridLines="0" zoomScaleSheetLayoutView="80" zoomScalePageLayoutView="0" workbookViewId="0" topLeftCell="A18">
      <selection activeCell="E15" sqref="E15"/>
    </sheetView>
  </sheetViews>
  <sheetFormatPr defaultColWidth="9.140625" defaultRowHeight="12.75"/>
  <cols>
    <col min="1" max="1" width="101.8515625" style="38" customWidth="1"/>
    <col min="2" max="2" width="19.57421875" style="4" customWidth="1"/>
    <col min="3" max="3" width="19.421875" style="4" customWidth="1"/>
    <col min="4" max="5" width="19.00390625" style="4" customWidth="1"/>
    <col min="6" max="6" width="10.421875" style="4" customWidth="1"/>
    <col min="7" max="16384" width="9.140625" style="4" customWidth="1"/>
  </cols>
  <sheetData>
    <row r="1" spans="1:4" ht="32.25" customHeight="1" thickBot="1">
      <c r="A1" s="1336" t="s">
        <v>321</v>
      </c>
      <c r="B1" s="1336"/>
      <c r="C1" s="1336"/>
      <c r="D1" s="1336"/>
    </row>
    <row r="2" spans="1:5" ht="34.5" customHeight="1" thickBot="1">
      <c r="A2" s="155"/>
      <c r="B2" s="156" t="s">
        <v>628</v>
      </c>
      <c r="C2" s="157" t="s">
        <v>691</v>
      </c>
      <c r="D2" s="157" t="s">
        <v>913</v>
      </c>
      <c r="E2" s="158" t="s">
        <v>1008</v>
      </c>
    </row>
    <row r="3" spans="1:5" ht="24.75" customHeight="1">
      <c r="A3" s="1340" t="s">
        <v>249</v>
      </c>
      <c r="B3" s="1341"/>
      <c r="C3" s="1341"/>
      <c r="D3" s="1341"/>
      <c r="E3" s="259"/>
    </row>
    <row r="4" spans="1:5" s="134" customFormat="1" ht="24.75" customHeight="1">
      <c r="A4" s="173" t="s">
        <v>315</v>
      </c>
      <c r="B4" s="193">
        <f>'PAREGGIO PARTE CORRENTE'!C4</f>
        <v>328139.42</v>
      </c>
      <c r="C4" s="193">
        <f>'PAREGGIO PARTE CORRENTE'!D4</f>
        <v>0</v>
      </c>
      <c r="D4" s="250">
        <f>'PAREGGIO PARTE CORRENTE'!E4</f>
        <v>0</v>
      </c>
      <c r="E4" s="225">
        <f>'PAREGGIO PARTE CORRENTE'!F4</f>
        <v>0</v>
      </c>
    </row>
    <row r="5" spans="1:5" s="134" customFormat="1" ht="24.75" customHeight="1">
      <c r="A5" s="173" t="s">
        <v>317</v>
      </c>
      <c r="B5" s="193">
        <f>'PAREGGIO PARTE CAPITALE'!B4</f>
        <v>1126337.82</v>
      </c>
      <c r="C5" s="193">
        <f>'PAREGGIO PARTE CAPITALE'!C4</f>
        <v>0</v>
      </c>
      <c r="D5" s="250">
        <f>'PAREGGIO PARTE CAPITALE'!D4</f>
        <v>0</v>
      </c>
      <c r="E5" s="225">
        <f>'PAREGGIO PARTE CAPITALE'!E4</f>
        <v>0</v>
      </c>
    </row>
    <row r="6" spans="1:5" s="194" customFormat="1" ht="24.75" customHeight="1">
      <c r="A6" s="195" t="s">
        <v>322</v>
      </c>
      <c r="B6" s="261"/>
      <c r="C6" s="262"/>
      <c r="D6" s="263"/>
      <c r="E6" s="264"/>
    </row>
    <row r="7" spans="1:5" s="176" customFormat="1" ht="24.75" customHeight="1">
      <c r="A7" s="177" t="s">
        <v>323</v>
      </c>
      <c r="B7" s="187">
        <f>B8+B9</f>
        <v>156244.89</v>
      </c>
      <c r="C7" s="187">
        <f>C8+C9</f>
        <v>0</v>
      </c>
      <c r="D7" s="251">
        <f>D8+D9</f>
        <v>0</v>
      </c>
      <c r="E7" s="260">
        <f>E8+E9</f>
        <v>0</v>
      </c>
    </row>
    <row r="8" spans="1:5" s="194" customFormat="1" ht="24.75" customHeight="1">
      <c r="A8" s="196" t="s">
        <v>324</v>
      </c>
      <c r="B8" s="197">
        <f>'PAREGGIO PARTE CORRENTE'!C5</f>
        <v>37244.89</v>
      </c>
      <c r="C8" s="197">
        <f>'PAREGGIO PARTE CORRENTE'!D5</f>
        <v>0</v>
      </c>
      <c r="D8" s="252">
        <f>'PAREGGIO PARTE CORRENTE'!E5</f>
        <v>0</v>
      </c>
      <c r="E8" s="226">
        <f>'PAREGGIO PARTE CORRENTE'!F5</f>
        <v>0</v>
      </c>
    </row>
    <row r="9" spans="1:5" s="194" customFormat="1" ht="24.75" customHeight="1">
      <c r="A9" s="196" t="s">
        <v>325</v>
      </c>
      <c r="B9" s="197">
        <f>'PAREGGIO PARTE CAPITALE'!B5</f>
        <v>119000</v>
      </c>
      <c r="C9" s="197">
        <f>'PAREGGIO PARTE CAPITALE'!C5</f>
        <v>0</v>
      </c>
      <c r="D9" s="252">
        <f>'PAREGGIO PARTE CAPITALE'!D5</f>
        <v>0</v>
      </c>
      <c r="E9" s="226">
        <f>'PAREGGIO PARTE CAPITALE'!E5</f>
        <v>0</v>
      </c>
    </row>
    <row r="10" spans="1:5" ht="24.75" customHeight="1">
      <c r="A10" s="151" t="s">
        <v>138</v>
      </c>
      <c r="B10" s="198">
        <f>'PAREGGIO PARTE CORRENTE'!C6</f>
        <v>1523085.4700000002</v>
      </c>
      <c r="C10" s="198">
        <f>'PAREGGIO PARTE CORRENTE'!D6</f>
        <v>1598683</v>
      </c>
      <c r="D10" s="253">
        <f>'PAREGGIO PARTE CORRENTE'!E6</f>
        <v>1610213</v>
      </c>
      <c r="E10" s="227">
        <f>'PAREGGIO PARTE CORRENTE'!F6</f>
        <v>1588711</v>
      </c>
    </row>
    <row r="11" spans="1:5" ht="24.75" customHeight="1">
      <c r="A11" s="152" t="s">
        <v>139</v>
      </c>
      <c r="B11" s="198">
        <f>'PAREGGIO PARTE CORRENTE'!C7</f>
        <v>517691.5</v>
      </c>
      <c r="C11" s="198">
        <f>'PAREGGIO PARTE CORRENTE'!D7</f>
        <v>445700</v>
      </c>
      <c r="D11" s="253">
        <f>'PAREGGIO PARTE CORRENTE'!E7</f>
        <v>307674</v>
      </c>
      <c r="E11" s="227">
        <f>'PAREGGIO PARTE CORRENTE'!F7</f>
        <v>307674</v>
      </c>
    </row>
    <row r="12" spans="1:5" ht="24.75" customHeight="1">
      <c r="A12" s="152" t="s">
        <v>140</v>
      </c>
      <c r="B12" s="199">
        <f>'PAREGGIO PARTE CORRENTE'!C8</f>
        <v>353120</v>
      </c>
      <c r="C12" s="199">
        <f>'PAREGGIO PARTE CORRENTE'!D8</f>
        <v>301420</v>
      </c>
      <c r="D12" s="254">
        <f>'PAREGGIO PARTE CORRENTE'!E8</f>
        <v>301420</v>
      </c>
      <c r="E12" s="228">
        <f>'PAREGGIO PARTE CORRENTE'!F8</f>
        <v>301420</v>
      </c>
    </row>
    <row r="13" spans="1:5" ht="24.75" customHeight="1">
      <c r="A13" s="152" t="s">
        <v>319</v>
      </c>
      <c r="B13" s="200">
        <f>'PAREGGIO PARTE CAPITALE'!B6</f>
        <v>4988369.3100000005</v>
      </c>
      <c r="C13" s="200">
        <f>'PAREGGIO PARTE CAPITALE'!C6</f>
        <v>2889055</v>
      </c>
      <c r="D13" s="255">
        <f>'PAREGGIO PARTE CAPITALE'!D6</f>
        <v>2048000</v>
      </c>
      <c r="E13" s="229">
        <f>'PAREGGIO PARTE CAPITALE'!E6</f>
        <v>1630000</v>
      </c>
    </row>
    <row r="14" spans="1:5" ht="24.75" customHeight="1">
      <c r="A14" s="152" t="s">
        <v>141</v>
      </c>
      <c r="B14" s="206">
        <f>ENTRATA!J177</f>
        <v>350000</v>
      </c>
      <c r="C14" s="207">
        <f>ENTRATA!K177</f>
        <v>0</v>
      </c>
      <c r="D14" s="256">
        <f>ENTRATA!N177</f>
        <v>0</v>
      </c>
      <c r="E14" s="256">
        <f>ENTRATA!N177</f>
        <v>0</v>
      </c>
    </row>
    <row r="15" spans="1:5" ht="24.75" customHeight="1">
      <c r="A15" s="164" t="s">
        <v>223</v>
      </c>
      <c r="B15" s="201">
        <f>'PAREGGIO PARTE CAPITALE'!B8</f>
        <v>160000</v>
      </c>
      <c r="C15" s="201">
        <f>'PAREGGIO PARTE CAPITALE'!C8</f>
        <v>160000</v>
      </c>
      <c r="D15" s="257">
        <f>'PAREGGIO PARTE CAPITALE'!D8</f>
        <v>0</v>
      </c>
      <c r="E15" s="230">
        <f>'PAREGGIO PARTE CAPITALE'!E8</f>
        <v>0</v>
      </c>
    </row>
    <row r="16" spans="1:5" ht="24.75" customHeight="1">
      <c r="A16" s="164" t="s">
        <v>224</v>
      </c>
      <c r="B16" s="206">
        <f>ENTRATA!J192</f>
        <v>900000</v>
      </c>
      <c r="C16" s="207">
        <f>ENTRATA!K192</f>
        <v>900000</v>
      </c>
      <c r="D16" s="256">
        <f>ENTRATA!M192</f>
        <v>900000</v>
      </c>
      <c r="E16" s="208">
        <f>ENTRATA!N192</f>
        <v>900000</v>
      </c>
    </row>
    <row r="17" spans="1:5" ht="24.75" customHeight="1">
      <c r="A17" s="164" t="s">
        <v>225</v>
      </c>
      <c r="B17" s="206">
        <f>ENTRATA!J208</f>
        <v>815200</v>
      </c>
      <c r="C17" s="207">
        <f>ENTRATA!K208</f>
        <v>815200</v>
      </c>
      <c r="D17" s="256">
        <f>ENTRATA!M208</f>
        <v>815200</v>
      </c>
      <c r="E17" s="208">
        <f>ENTRATA!N208</f>
        <v>815200</v>
      </c>
    </row>
    <row r="18" spans="1:5" s="159" customFormat="1" ht="24.75" customHeight="1" thickBot="1">
      <c r="A18" s="166" t="s">
        <v>142</v>
      </c>
      <c r="B18" s="168">
        <f>SUM(B4:B17)-B6-B8-B9</f>
        <v>11218188.41</v>
      </c>
      <c r="C18" s="168">
        <f>SUM(C4:C17)-C6-C8-C9</f>
        <v>7110058</v>
      </c>
      <c r="D18" s="168">
        <f>SUM(D4:D17)-D6-D8-D9</f>
        <v>5982507</v>
      </c>
      <c r="E18" s="168">
        <f>SUM(E4:E17)-E6-E8-E9</f>
        <v>5543005</v>
      </c>
    </row>
    <row r="19" spans="1:5" ht="24.75" customHeight="1">
      <c r="A19" s="1340" t="s">
        <v>250</v>
      </c>
      <c r="B19" s="1341"/>
      <c r="C19" s="1341"/>
      <c r="D19" s="1341"/>
      <c r="E19" s="269"/>
    </row>
    <row r="20" spans="1:5" ht="24.75" customHeight="1">
      <c r="A20" s="152" t="s">
        <v>211</v>
      </c>
      <c r="B20" s="154">
        <f>'PAREGGIO PARTE CORRENTE'!C12</f>
        <v>2621366.2800000003</v>
      </c>
      <c r="C20" s="154">
        <f>'PAREGGIO PARTE CORRENTE'!D12</f>
        <v>2223863</v>
      </c>
      <c r="D20" s="265">
        <f>'PAREGGIO PARTE CORRENTE'!E12</f>
        <v>2088072</v>
      </c>
      <c r="E20" s="258">
        <f>'PAREGGIO PARTE CORRENTE'!F12</f>
        <v>2097955</v>
      </c>
    </row>
    <row r="21" spans="1:5" s="165" customFormat="1" ht="24.75" customHeight="1">
      <c r="A21" s="202" t="s">
        <v>326</v>
      </c>
      <c r="B21" s="203">
        <f>SPESA!L278</f>
        <v>82326</v>
      </c>
      <c r="C21" s="204">
        <f>SPESA!N278</f>
        <v>73632</v>
      </c>
      <c r="D21" s="266">
        <f>SPESA!P278</f>
        <v>73632</v>
      </c>
      <c r="E21" s="205">
        <f>SPESA!R278</f>
        <v>63600</v>
      </c>
    </row>
    <row r="22" spans="1:5" s="165" customFormat="1" ht="24.75" customHeight="1">
      <c r="A22" s="202" t="s">
        <v>327</v>
      </c>
      <c r="B22" s="203">
        <f>SPESA!L280</f>
        <v>2648</v>
      </c>
      <c r="C22" s="204">
        <f>SPESA!N280</f>
        <v>2918</v>
      </c>
      <c r="D22" s="266">
        <f>SPESA!P280</f>
        <v>3295</v>
      </c>
      <c r="E22" s="205">
        <f>SPESA!R280</f>
        <v>3295</v>
      </c>
    </row>
    <row r="23" spans="1:5" ht="24.75" customHeight="1">
      <c r="A23" s="152" t="s">
        <v>655</v>
      </c>
      <c r="B23" s="153">
        <f>'PAREGGIO PARTE CAPITALE'!B12</f>
        <v>6596107.130000001</v>
      </c>
      <c r="C23" s="153">
        <f>'PAREGGIO PARTE CAPITALE'!C12</f>
        <v>3051455</v>
      </c>
      <c r="D23" s="267">
        <f>'PAREGGIO PARTE CAPITALE'!D12</f>
        <v>2050400</v>
      </c>
      <c r="E23" s="163">
        <f>'PAREGGIO PARTE CAPITALE'!E12</f>
        <v>1632400</v>
      </c>
    </row>
    <row r="24" spans="1:5" s="165" customFormat="1" ht="24.75" customHeight="1">
      <c r="A24" s="202" t="s">
        <v>416</v>
      </c>
      <c r="B24" s="209"/>
      <c r="C24" s="209"/>
      <c r="D24" s="268"/>
      <c r="E24" s="210"/>
    </row>
    <row r="25" spans="1:5" ht="24.75" customHeight="1">
      <c r="A25" s="152" t="s">
        <v>328</v>
      </c>
      <c r="B25" s="153">
        <f>SPESA!L445</f>
        <v>150000</v>
      </c>
      <c r="C25" s="153">
        <f>C14</f>
        <v>0</v>
      </c>
      <c r="D25" s="267">
        <f>D14</f>
        <v>0</v>
      </c>
      <c r="E25" s="163">
        <f>E14</f>
        <v>0</v>
      </c>
    </row>
    <row r="26" spans="1:5" ht="24.75" customHeight="1">
      <c r="A26" s="152" t="s">
        <v>226</v>
      </c>
      <c r="B26" s="199">
        <f>'PAREGGIO PARTE CORRENTE'!C13</f>
        <v>135515</v>
      </c>
      <c r="C26" s="199">
        <f>'PAREGGIO PARTE CORRENTE'!D13</f>
        <v>119540</v>
      </c>
      <c r="D26" s="254">
        <f>'PAREGGIO PARTE CORRENTE'!E13</f>
        <v>128835</v>
      </c>
      <c r="E26" s="228">
        <f>'PAREGGIO PARTE CORRENTE'!F13</f>
        <v>97450</v>
      </c>
    </row>
    <row r="27" spans="1:5" ht="24.75" customHeight="1">
      <c r="A27" s="152" t="s">
        <v>227</v>
      </c>
      <c r="B27" s="153">
        <f aca="true" t="shared" si="0" ref="B27:D28">B16</f>
        <v>900000</v>
      </c>
      <c r="C27" s="153">
        <f t="shared" si="0"/>
        <v>900000</v>
      </c>
      <c r="D27" s="267">
        <f t="shared" si="0"/>
        <v>900000</v>
      </c>
      <c r="E27" s="163">
        <f>E16</f>
        <v>900000</v>
      </c>
    </row>
    <row r="28" spans="1:5" ht="24.75" customHeight="1">
      <c r="A28" s="152" t="s">
        <v>228</v>
      </c>
      <c r="B28" s="153">
        <f t="shared" si="0"/>
        <v>815200</v>
      </c>
      <c r="C28" s="153">
        <f t="shared" si="0"/>
        <v>815200</v>
      </c>
      <c r="D28" s="267">
        <f t="shared" si="0"/>
        <v>815200</v>
      </c>
      <c r="E28" s="163">
        <f>E17</f>
        <v>815200</v>
      </c>
    </row>
    <row r="29" spans="1:5" s="172" customFormat="1" ht="24.75" customHeight="1">
      <c r="A29" s="169" t="s">
        <v>143</v>
      </c>
      <c r="B29" s="170">
        <f>SUM(B20+B23+B25+B26+B27+B28)</f>
        <v>11218188.41</v>
      </c>
      <c r="C29" s="170">
        <f>SUM(C20+C23+C25+C26+C27+C28)</f>
        <v>7110058</v>
      </c>
      <c r="D29" s="246">
        <f>SUM(D20+D23+D25+D26+D27+D28)</f>
        <v>5982507</v>
      </c>
      <c r="E29" s="171">
        <f>SUM(E20+E23+E25+E26+E27+E28)</f>
        <v>5543005</v>
      </c>
    </row>
    <row r="30" spans="1:5" s="159" customFormat="1" ht="24.75" customHeight="1" thickBot="1">
      <c r="A30" s="160" t="s">
        <v>144</v>
      </c>
      <c r="B30" s="161">
        <f>B18-B29</f>
        <v>0</v>
      </c>
      <c r="C30" s="161">
        <f>C18-C29</f>
        <v>0</v>
      </c>
      <c r="D30" s="247">
        <f>D18-D29</f>
        <v>0</v>
      </c>
      <c r="E30" s="162">
        <f>E18-E29</f>
        <v>0</v>
      </c>
    </row>
    <row r="31" ht="24.75" customHeight="1"/>
    <row r="32" ht="24.75" customHeight="1"/>
    <row r="33" ht="24.75" customHeight="1"/>
    <row r="34" ht="24.75" customHeight="1"/>
    <row r="35" ht="34.5" customHeight="1"/>
    <row r="36" ht="34.5" customHeight="1"/>
    <row r="37" ht="34.5" customHeight="1"/>
    <row r="38" ht="34.5" customHeight="1"/>
  </sheetData>
  <sheetProtection/>
  <mergeCells count="3">
    <mergeCell ref="A1:D1"/>
    <mergeCell ref="A3:D3"/>
    <mergeCell ref="A19:D19"/>
  </mergeCells>
  <printOptions horizontalCentered="1" verticalCentered="1"/>
  <pageMargins left="0" right="0" top="0.1968503937007874" bottom="0.1968503937007874" header="0.5118110236220472" footer="0.5118110236220472"/>
  <pageSetup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dimension ref="A1:H100"/>
  <sheetViews>
    <sheetView showGridLines="0" zoomScale="80" zoomScaleNormal="80" zoomScaleSheetLayoutView="80" zoomScalePageLayoutView="0" workbookViewId="0" topLeftCell="A1">
      <selection activeCell="C5" sqref="C5"/>
    </sheetView>
  </sheetViews>
  <sheetFormatPr defaultColWidth="9.140625" defaultRowHeight="12.75"/>
  <cols>
    <col min="1" max="1" width="107.421875" style="38" customWidth="1"/>
    <col min="2" max="2" width="7.140625" style="39" customWidth="1"/>
    <col min="3" max="3" width="20.7109375" style="39" customWidth="1"/>
    <col min="4" max="6" width="20.7109375" style="37" customWidth="1"/>
    <col min="7" max="7" width="9.140625" style="37" customWidth="1"/>
    <col min="8" max="8" width="10.421875" style="4" customWidth="1"/>
    <col min="9" max="16384" width="9.140625" style="37" customWidth="1"/>
  </cols>
  <sheetData>
    <row r="1" spans="1:5" s="4" customFormat="1" ht="21">
      <c r="A1" s="1348" t="s">
        <v>370</v>
      </c>
      <c r="B1" s="1349"/>
      <c r="C1" s="1349"/>
      <c r="D1" s="1349"/>
      <c r="E1" s="1349"/>
    </row>
    <row r="2" spans="1:5" s="4" customFormat="1" ht="21">
      <c r="A2" s="1348" t="s">
        <v>918</v>
      </c>
      <c r="B2" s="1349"/>
      <c r="C2" s="1349"/>
      <c r="D2" s="1349"/>
      <c r="E2" s="1349"/>
    </row>
    <row r="3" ht="13.5" thickBot="1"/>
    <row r="4" spans="1:6" ht="73.5" customHeight="1">
      <c r="A4" s="1350" t="s">
        <v>371</v>
      </c>
      <c r="B4" s="1351"/>
      <c r="C4" s="18" t="s">
        <v>944</v>
      </c>
      <c r="D4" s="18" t="s">
        <v>628</v>
      </c>
      <c r="E4" s="116" t="s">
        <v>691</v>
      </c>
      <c r="F4" s="19" t="s">
        <v>913</v>
      </c>
    </row>
    <row r="5" spans="1:6" ht="23.25" customHeight="1">
      <c r="A5" s="66" t="s">
        <v>372</v>
      </c>
      <c r="B5" s="50"/>
      <c r="C5" s="51">
        <f>CASSA!B3</f>
        <v>1462180.36</v>
      </c>
      <c r="D5" s="96"/>
      <c r="E5" s="117"/>
      <c r="F5" s="142"/>
    </row>
    <row r="6" spans="1:6" ht="12.75">
      <c r="A6" s="67"/>
      <c r="B6" s="6"/>
      <c r="C6" s="42"/>
      <c r="D6" s="40"/>
      <c r="E6" s="118"/>
      <c r="F6" s="127"/>
    </row>
    <row r="7" spans="1:6" ht="19.5" customHeight="1">
      <c r="A7" s="68" t="s">
        <v>373</v>
      </c>
      <c r="B7" s="41" t="s">
        <v>374</v>
      </c>
      <c r="C7" s="1031">
        <f>ENTRATA!J211</f>
        <v>328139.42</v>
      </c>
      <c r="D7" s="280">
        <f>ENTRATA!K211</f>
        <v>0</v>
      </c>
      <c r="E7" s="281">
        <f>ENTRATA!M211</f>
        <v>0</v>
      </c>
      <c r="F7" s="282">
        <f>ENTRATA!N211</f>
        <v>0</v>
      </c>
    </row>
    <row r="8" spans="1:6" ht="12.75">
      <c r="A8" s="31"/>
      <c r="B8" s="43"/>
      <c r="C8" s="17"/>
      <c r="D8" s="284"/>
      <c r="E8" s="284"/>
      <c r="F8" s="285"/>
    </row>
    <row r="9" spans="1:6" ht="19.5" customHeight="1">
      <c r="A9" s="69" t="s">
        <v>375</v>
      </c>
      <c r="B9" s="41" t="s">
        <v>376</v>
      </c>
      <c r="C9" s="52"/>
      <c r="D9" s="280">
        <f>'QUADRO RIASSUNTIVO'!K9</f>
        <v>0</v>
      </c>
      <c r="E9" s="281">
        <f>'QUADRO RIASSUNTIVO'!M9</f>
        <v>0</v>
      </c>
      <c r="F9" s="286"/>
    </row>
    <row r="10" spans="1:6" ht="12.75">
      <c r="A10" s="31"/>
      <c r="B10" s="43"/>
      <c r="C10" s="17"/>
      <c r="D10" s="283"/>
      <c r="E10" s="284"/>
      <c r="F10" s="285"/>
    </row>
    <row r="11" spans="1:6" ht="19.5" customHeight="1">
      <c r="A11" s="68" t="s">
        <v>377</v>
      </c>
      <c r="B11" s="41" t="s">
        <v>374</v>
      </c>
      <c r="C11" s="1032">
        <f>'PAREGGIO PARTE CORRENTE'!C6+'PAREGGIO PARTE CORRENTE'!C7+'PAREGGIO PARTE CORRENTE'!C8</f>
        <v>2393896.97</v>
      </c>
      <c r="D11" s="280">
        <f>'QUADRO RIASSUNTIVO'!D13+'QUADRO RIASSUNTIVO'!D15+'QUADRO RIASSUNTIVO'!D17</f>
        <v>2345803</v>
      </c>
      <c r="E11" s="281">
        <f>'QUADRO RIASSUNTIVO'!F13+'QUADRO RIASSUNTIVO'!F15+'QUADRO RIASSUNTIVO'!F17</f>
        <v>2219307</v>
      </c>
      <c r="F11" s="282">
        <f>'QUADRO RIASSUNTIVO'!G13+'QUADRO RIASSUNTIVO'!G15+'QUADRO RIASSUNTIVO'!G17</f>
        <v>2197805</v>
      </c>
    </row>
    <row r="12" spans="1:6" s="4" customFormat="1" ht="19.5" customHeight="1">
      <c r="A12" s="70" t="s">
        <v>378</v>
      </c>
      <c r="B12" s="53"/>
      <c r="C12" s="54"/>
      <c r="D12" s="287">
        <v>0</v>
      </c>
      <c r="E12" s="288">
        <v>0</v>
      </c>
      <c r="F12" s="289">
        <v>0</v>
      </c>
    </row>
    <row r="13" spans="1:6" ht="12.75">
      <c r="A13" s="31"/>
      <c r="B13" s="43"/>
      <c r="C13" s="17"/>
      <c r="D13" s="283"/>
      <c r="E13" s="284"/>
      <c r="F13" s="285"/>
    </row>
    <row r="14" spans="1:6" ht="25.5">
      <c r="A14" s="69" t="s">
        <v>379</v>
      </c>
      <c r="B14" s="41" t="s">
        <v>374</v>
      </c>
      <c r="C14" s="52"/>
      <c r="D14" s="280">
        <v>0</v>
      </c>
      <c r="E14" s="281">
        <v>0</v>
      </c>
      <c r="F14" s="290">
        <v>0</v>
      </c>
    </row>
    <row r="15" spans="1:6" ht="12.75">
      <c r="A15" s="31"/>
      <c r="B15" s="43"/>
      <c r="C15" s="17"/>
      <c r="D15" s="283"/>
      <c r="E15" s="284"/>
      <c r="F15" s="285"/>
    </row>
    <row r="16" spans="1:6" ht="19.5" customHeight="1">
      <c r="A16" s="68" t="s">
        <v>380</v>
      </c>
      <c r="B16" s="41" t="s">
        <v>376</v>
      </c>
      <c r="C16" s="1031">
        <f>'PAREGGIO PARTE CORRENTE'!C12</f>
        <v>2621366.2800000003</v>
      </c>
      <c r="D16" s="280">
        <f>'QUADRO RIASSUNTIVO'!K13</f>
        <v>2427301</v>
      </c>
      <c r="E16" s="281">
        <f>'QUADRO RIASSUNTIVO'!M13</f>
        <v>2088072</v>
      </c>
      <c r="F16" s="282">
        <f>'QUADRO RIASSUNTIVO'!N13</f>
        <v>2142373.93</v>
      </c>
    </row>
    <row r="17" spans="1:6" ht="19.5" customHeight="1">
      <c r="A17" s="71" t="s">
        <v>381</v>
      </c>
      <c r="B17" s="43"/>
      <c r="C17" s="17"/>
      <c r="D17" s="283"/>
      <c r="E17" s="284"/>
      <c r="F17" s="285"/>
    </row>
    <row r="18" spans="1:6" ht="19.5" customHeight="1">
      <c r="A18" s="72" t="s">
        <v>382</v>
      </c>
      <c r="B18" s="41"/>
      <c r="C18" s="1031">
        <f>'PAREGGIO PARTE CORRENTE'!C4</f>
        <v>328139.42</v>
      </c>
      <c r="D18" s="291"/>
      <c r="E18" s="292"/>
      <c r="F18" s="290"/>
    </row>
    <row r="19" spans="1:6" ht="19.5" customHeight="1">
      <c r="A19" s="70" t="s">
        <v>383</v>
      </c>
      <c r="B19" s="53"/>
      <c r="C19" s="1033">
        <f>SPESA!L278</f>
        <v>82326</v>
      </c>
      <c r="D19" s="90">
        <f>SPESA!N278</f>
        <v>73632</v>
      </c>
      <c r="E19" s="121">
        <f>SPESA!P278</f>
        <v>73632</v>
      </c>
      <c r="F19" s="142">
        <f>SPESA!R278</f>
        <v>63600</v>
      </c>
    </row>
    <row r="20" spans="1:6" ht="12.75">
      <c r="A20" s="31"/>
      <c r="B20" s="43"/>
      <c r="C20" s="17"/>
      <c r="D20" s="10"/>
      <c r="E20" s="58"/>
      <c r="F20" s="127"/>
    </row>
    <row r="21" spans="1:6" ht="19.5" customHeight="1">
      <c r="A21" s="68" t="s">
        <v>384</v>
      </c>
      <c r="B21" s="41" t="s">
        <v>376</v>
      </c>
      <c r="C21" s="52"/>
      <c r="D21" s="8">
        <v>0</v>
      </c>
      <c r="E21" s="119">
        <v>0</v>
      </c>
      <c r="F21" s="144">
        <v>0</v>
      </c>
    </row>
    <row r="22" spans="1:6" ht="12.75">
      <c r="A22" s="31"/>
      <c r="B22" s="43"/>
      <c r="C22" s="17"/>
      <c r="D22" s="10"/>
      <c r="E22" s="58"/>
      <c r="F22" s="127"/>
    </row>
    <row r="23" spans="1:6" ht="19.5" customHeight="1">
      <c r="A23" s="69" t="s">
        <v>385</v>
      </c>
      <c r="B23" s="41" t="s">
        <v>376</v>
      </c>
      <c r="C23" s="1031">
        <f>SPESA!L452</f>
        <v>135515</v>
      </c>
      <c r="D23" s="8">
        <f>'QUADRO RIASSUNTIVO'!K28</f>
        <v>119540</v>
      </c>
      <c r="E23" s="119">
        <f>'QUADRO RIASSUNTIVO'!M28</f>
        <v>128835</v>
      </c>
      <c r="F23" s="143">
        <f>'QUADRO RIASSUNTIVO'!N28</f>
        <v>97450</v>
      </c>
    </row>
    <row r="24" spans="1:6" ht="19.5" customHeight="1">
      <c r="A24" s="70" t="s">
        <v>378</v>
      </c>
      <c r="B24" s="55"/>
      <c r="C24" s="56"/>
      <c r="D24" s="59">
        <v>0</v>
      </c>
      <c r="E24" s="120">
        <v>0</v>
      </c>
      <c r="F24" s="145">
        <v>0</v>
      </c>
    </row>
    <row r="25" spans="1:6" ht="12.75">
      <c r="A25" s="31"/>
      <c r="B25" s="43"/>
      <c r="C25" s="17"/>
      <c r="D25" s="10"/>
      <c r="E25" s="58"/>
      <c r="F25" s="128"/>
    </row>
    <row r="26" spans="1:6" ht="23.25" customHeight="1" thickBot="1">
      <c r="A26" s="73" t="s">
        <v>386</v>
      </c>
      <c r="B26" s="57"/>
      <c r="C26" s="60">
        <f>+C7+C11+C14-C16-C21-C9-C23</f>
        <v>-34844.89000000013</v>
      </c>
      <c r="D26" s="60">
        <f>+D7+D11+D14-D16-D21-D9-D23</f>
        <v>-201038</v>
      </c>
      <c r="E26" s="122">
        <f>+E7+E11+E14-E16-E21-E9-E23</f>
        <v>2400</v>
      </c>
      <c r="F26" s="74">
        <f>+F7+F11+F14-F16-F21-F9-F23</f>
        <v>-42018.93000000017</v>
      </c>
    </row>
    <row r="27" spans="1:8" s="44" customFormat="1" ht="12.75">
      <c r="A27" s="17"/>
      <c r="B27" s="48"/>
      <c r="C27" s="17"/>
      <c r="D27" s="129"/>
      <c r="E27" s="129"/>
      <c r="H27" s="17"/>
    </row>
    <row r="28" spans="1:6" ht="31.5" customHeight="1">
      <c r="A28" s="1345" t="s">
        <v>387</v>
      </c>
      <c r="B28" s="1346"/>
      <c r="C28" s="1346"/>
      <c r="D28" s="1346"/>
      <c r="E28" s="1346"/>
      <c r="F28" s="1346"/>
    </row>
    <row r="29" spans="1:6" ht="12.75">
      <c r="A29" s="31"/>
      <c r="B29" s="6"/>
      <c r="C29" s="17"/>
      <c r="D29" s="45"/>
      <c r="E29" s="130"/>
      <c r="F29" s="124"/>
    </row>
    <row r="30" spans="1:8" s="44" customFormat="1" ht="19.5" customHeight="1">
      <c r="A30" s="69" t="s">
        <v>388</v>
      </c>
      <c r="B30" s="41" t="s">
        <v>374</v>
      </c>
      <c r="C30" s="61">
        <f>ENTRATA!J213</f>
        <v>37244.89</v>
      </c>
      <c r="D30" s="8" t="s">
        <v>389</v>
      </c>
      <c r="E30" s="119" t="s">
        <v>389</v>
      </c>
      <c r="F30" s="8" t="s">
        <v>389</v>
      </c>
      <c r="H30" s="17"/>
    </row>
    <row r="31" spans="1:6" ht="19.5" customHeight="1">
      <c r="A31" s="70" t="s">
        <v>378</v>
      </c>
      <c r="B31" s="55"/>
      <c r="C31" s="62"/>
      <c r="D31" s="63"/>
      <c r="E31" s="131"/>
      <c r="F31" s="126"/>
    </row>
    <row r="32" spans="1:6" ht="12.75">
      <c r="A32" s="31"/>
      <c r="B32" s="43"/>
      <c r="C32" s="64"/>
      <c r="D32" s="10"/>
      <c r="E32" s="58"/>
      <c r="F32" s="124"/>
    </row>
    <row r="33" spans="1:6" ht="19.5" customHeight="1">
      <c r="A33" s="69" t="s">
        <v>390</v>
      </c>
      <c r="B33" s="41" t="s">
        <v>374</v>
      </c>
      <c r="C33" s="61"/>
      <c r="D33" s="8">
        <v>0</v>
      </c>
      <c r="E33" s="119">
        <v>0</v>
      </c>
      <c r="F33" s="8">
        <v>0</v>
      </c>
    </row>
    <row r="34" spans="1:6" ht="19.5" customHeight="1">
      <c r="A34" s="70" t="s">
        <v>378</v>
      </c>
      <c r="B34" s="55"/>
      <c r="C34" s="62"/>
      <c r="D34" s="59">
        <v>0</v>
      </c>
      <c r="E34" s="120">
        <v>0</v>
      </c>
      <c r="F34" s="59">
        <v>0</v>
      </c>
    </row>
    <row r="35" spans="1:6" ht="12.75">
      <c r="A35" s="31"/>
      <c r="B35" s="43"/>
      <c r="C35" s="64"/>
      <c r="D35" s="10"/>
      <c r="E35" s="58"/>
      <c r="F35" s="124"/>
    </row>
    <row r="36" spans="1:6" ht="19.5" customHeight="1">
      <c r="A36" s="69" t="s">
        <v>391</v>
      </c>
      <c r="B36" s="41" t="s">
        <v>376</v>
      </c>
      <c r="C36" s="61">
        <v>2000</v>
      </c>
      <c r="D36" s="8"/>
      <c r="E36" s="119"/>
      <c r="F36" s="8"/>
    </row>
    <row r="37" spans="1:6" ht="12.75">
      <c r="A37" s="31"/>
      <c r="B37" s="43"/>
      <c r="C37" s="64"/>
      <c r="D37" s="10"/>
      <c r="E37" s="58"/>
      <c r="F37" s="124"/>
    </row>
    <row r="38" spans="1:6" ht="19.5" customHeight="1">
      <c r="A38" s="69" t="s">
        <v>392</v>
      </c>
      <c r="B38" s="41" t="s">
        <v>374</v>
      </c>
      <c r="C38" s="61"/>
      <c r="D38" s="8">
        <v>0</v>
      </c>
      <c r="E38" s="119">
        <v>0</v>
      </c>
      <c r="F38" s="8">
        <v>0</v>
      </c>
    </row>
    <row r="39" spans="1:6" ht="12.75">
      <c r="A39" s="68"/>
      <c r="B39" s="41"/>
      <c r="C39" s="61"/>
      <c r="D39" s="8"/>
      <c r="E39" s="119"/>
      <c r="F39" s="126"/>
    </row>
    <row r="40" spans="1:6" ht="12.75">
      <c r="A40" s="1352" t="s">
        <v>393</v>
      </c>
      <c r="B40" s="43"/>
      <c r="C40" s="64"/>
      <c r="D40" s="10"/>
      <c r="E40" s="58"/>
      <c r="F40" s="124"/>
    </row>
    <row r="41" spans="1:6" ht="12.75">
      <c r="A41" s="1353"/>
      <c r="B41" s="43"/>
      <c r="C41" s="64"/>
      <c r="D41" s="10"/>
      <c r="E41" s="58"/>
      <c r="F41" s="124"/>
    </row>
    <row r="42" spans="1:6" ht="15" thickBot="1">
      <c r="A42" s="75" t="s">
        <v>394</v>
      </c>
      <c r="B42" s="46"/>
      <c r="C42" s="65">
        <f>+C26+C33-C36+C38</f>
        <v>-36844.89000000013</v>
      </c>
      <c r="D42" s="65">
        <f>+D26+D33-D36+D38</f>
        <v>-201038</v>
      </c>
      <c r="E42" s="132">
        <f>+E26+E33-E36+E38</f>
        <v>2400</v>
      </c>
      <c r="F42" s="65">
        <f>+F26+F33-F36+F38</f>
        <v>-42018.93000000017</v>
      </c>
    </row>
    <row r="43" spans="1:6" ht="12.75" customHeight="1" thickTop="1">
      <c r="A43" s="31"/>
      <c r="B43" s="43"/>
      <c r="C43" s="64"/>
      <c r="D43" s="10"/>
      <c r="E43" s="58"/>
      <c r="F43" s="124"/>
    </row>
    <row r="44" spans="1:6" ht="24" customHeight="1">
      <c r="A44" s="69" t="s">
        <v>395</v>
      </c>
      <c r="B44" s="41" t="s">
        <v>374</v>
      </c>
      <c r="C44" s="61">
        <f>'PAREGGIO PARTE CAPITALE'!B5</f>
        <v>119000</v>
      </c>
      <c r="D44" s="8">
        <f>'QUADRO RIASSUNTIVO'!D9</f>
        <v>0</v>
      </c>
      <c r="E44" s="119">
        <f>'QUADRO RIASSUNTIVO'!F9</f>
        <v>0</v>
      </c>
      <c r="F44" s="8">
        <f>'QUADRO RIASSUNTIVO'!G9</f>
        <v>0</v>
      </c>
    </row>
    <row r="45" spans="1:6" ht="12.75">
      <c r="A45" s="31"/>
      <c r="B45" s="43"/>
      <c r="C45" s="64"/>
      <c r="D45" s="10"/>
      <c r="E45" s="58"/>
      <c r="F45" s="123"/>
    </row>
    <row r="46" spans="1:6" ht="19.5" customHeight="1">
      <c r="A46" s="68" t="s">
        <v>396</v>
      </c>
      <c r="B46" s="41" t="s">
        <v>374</v>
      </c>
      <c r="C46" s="61">
        <f>ENTRATA!J212</f>
        <v>1126337.82</v>
      </c>
      <c r="D46" s="8">
        <f>ENTRATA!K212</f>
        <v>0</v>
      </c>
      <c r="E46" s="119">
        <v>0</v>
      </c>
      <c r="F46" s="8">
        <v>0</v>
      </c>
    </row>
    <row r="47" spans="1:6" ht="12.75">
      <c r="A47" s="31"/>
      <c r="B47" s="43"/>
      <c r="C47" s="64"/>
      <c r="D47" s="10"/>
      <c r="E47" s="58"/>
      <c r="F47" s="124"/>
    </row>
    <row r="48" spans="1:6" ht="19.5" customHeight="1">
      <c r="A48" s="68" t="s">
        <v>397</v>
      </c>
      <c r="B48" s="41" t="s">
        <v>374</v>
      </c>
      <c r="C48" s="1040">
        <f>'PAREGGIO COMPLESSIVO'!B13+'PAREGGIO COMPLESSIVO'!B14+'PAREGGIO COMPLESSIVO'!B15</f>
        <v>5498369.3100000005</v>
      </c>
      <c r="D48" s="8">
        <f>'QUADRO RIASSUNTIVO'!D19+'QUADRO RIASSUNTIVO'!D22+'QUADRO RIASSUNTIVO'!D28</f>
        <v>3049055</v>
      </c>
      <c r="E48" s="8">
        <f>'QUADRO RIASSUNTIVO'!F19+'QUADRO RIASSUNTIVO'!F22+'QUADRO RIASSUNTIVO'!F28</f>
        <v>2048000</v>
      </c>
      <c r="F48" s="8">
        <f>'QUADRO RIASSUNTIVO'!G19+'QUADRO RIASSUNTIVO'!G22+'QUADRO RIASSUNTIVO'!G28</f>
        <v>1630000</v>
      </c>
    </row>
    <row r="49" spans="1:6" ht="12.75">
      <c r="A49" s="31"/>
      <c r="B49" s="43"/>
      <c r="C49" s="64"/>
      <c r="D49" s="10"/>
      <c r="E49" s="58"/>
      <c r="F49" s="124"/>
    </row>
    <row r="50" spans="1:6" ht="30" customHeight="1">
      <c r="A50" s="69" t="s">
        <v>379</v>
      </c>
      <c r="B50" s="41" t="s">
        <v>376</v>
      </c>
      <c r="C50" s="61"/>
      <c r="D50" s="8">
        <v>0</v>
      </c>
      <c r="E50" s="119">
        <v>0</v>
      </c>
      <c r="F50" s="8">
        <v>0</v>
      </c>
    </row>
    <row r="51" spans="1:6" ht="12.75">
      <c r="A51" s="31"/>
      <c r="B51" s="43"/>
      <c r="C51" s="64"/>
      <c r="D51" s="10"/>
      <c r="E51" s="58"/>
      <c r="F51" s="124"/>
    </row>
    <row r="52" spans="1:6" ht="19.5" customHeight="1">
      <c r="A52" s="69" t="s">
        <v>390</v>
      </c>
      <c r="B52" s="41" t="s">
        <v>376</v>
      </c>
      <c r="C52" s="61"/>
      <c r="D52" s="8">
        <v>0</v>
      </c>
      <c r="E52" s="119">
        <v>0</v>
      </c>
      <c r="F52" s="8">
        <v>0</v>
      </c>
    </row>
    <row r="53" spans="1:6" ht="12.75">
      <c r="A53" s="31"/>
      <c r="B53" s="43"/>
      <c r="C53" s="64"/>
      <c r="D53" s="10"/>
      <c r="E53" s="58"/>
      <c r="F53" s="124"/>
    </row>
    <row r="54" spans="1:6" s="4" customFormat="1" ht="19.5" customHeight="1">
      <c r="A54" s="68" t="s">
        <v>398</v>
      </c>
      <c r="B54" s="41" t="s">
        <v>376</v>
      </c>
      <c r="C54" s="61"/>
      <c r="D54" s="8">
        <v>0</v>
      </c>
      <c r="E54" s="119">
        <v>0</v>
      </c>
      <c r="F54" s="8">
        <v>0</v>
      </c>
    </row>
    <row r="55" spans="1:8" s="4" customFormat="1" ht="12.75">
      <c r="A55" s="31"/>
      <c r="B55" s="43"/>
      <c r="C55" s="64"/>
      <c r="D55" s="10"/>
      <c r="E55" s="58"/>
      <c r="F55" s="125"/>
      <c r="G55" s="17"/>
      <c r="H55" s="17"/>
    </row>
    <row r="56" spans="1:6" s="4" customFormat="1" ht="19.5" customHeight="1">
      <c r="A56" s="68" t="s">
        <v>399</v>
      </c>
      <c r="B56" s="41" t="s">
        <v>376</v>
      </c>
      <c r="C56" s="61"/>
      <c r="D56" s="8">
        <v>0</v>
      </c>
      <c r="E56" s="119">
        <v>0</v>
      </c>
      <c r="F56" s="8">
        <v>0</v>
      </c>
    </row>
    <row r="57" spans="1:6" s="4" customFormat="1" ht="12.75">
      <c r="A57" s="31"/>
      <c r="B57" s="43"/>
      <c r="C57" s="64"/>
      <c r="D57" s="10"/>
      <c r="E57" s="58"/>
      <c r="F57" s="125"/>
    </row>
    <row r="58" spans="1:6" s="4" customFormat="1" ht="19.5" customHeight="1">
      <c r="A58" s="69" t="s">
        <v>400</v>
      </c>
      <c r="B58" s="41" t="s">
        <v>376</v>
      </c>
      <c r="C58" s="61">
        <f>'PAREGGIO COMPLESSIVO'!B14</f>
        <v>350000</v>
      </c>
      <c r="D58" s="8">
        <f>ENTRATA!K177</f>
        <v>0</v>
      </c>
      <c r="E58" s="119">
        <f>ENTRATA!M177</f>
        <v>0</v>
      </c>
      <c r="F58" s="8">
        <f>ENTRATA!N177</f>
        <v>0</v>
      </c>
    </row>
    <row r="59" spans="1:6" s="4" customFormat="1" ht="12.75">
      <c r="A59" s="31"/>
      <c r="B59" s="43"/>
      <c r="C59" s="64"/>
      <c r="D59" s="10"/>
      <c r="E59" s="58"/>
      <c r="F59" s="125"/>
    </row>
    <row r="60" spans="1:6" s="4" customFormat="1" ht="19.5" customHeight="1">
      <c r="A60" s="69" t="s">
        <v>391</v>
      </c>
      <c r="B60" s="41" t="s">
        <v>374</v>
      </c>
      <c r="C60" s="8">
        <f>C36</f>
        <v>2000</v>
      </c>
      <c r="D60" s="8">
        <f>D36</f>
        <v>0</v>
      </c>
      <c r="E60" s="8">
        <f>E36</f>
        <v>0</v>
      </c>
      <c r="F60" s="8">
        <f>F36</f>
        <v>0</v>
      </c>
    </row>
    <row r="61" spans="1:6" ht="12.75">
      <c r="A61" s="31"/>
      <c r="B61" s="43"/>
      <c r="C61" s="64"/>
      <c r="D61" s="10"/>
      <c r="E61" s="58"/>
      <c r="F61" s="124"/>
    </row>
    <row r="62" spans="1:6" ht="19.5" customHeight="1">
      <c r="A62" s="68" t="s">
        <v>401</v>
      </c>
      <c r="B62" s="41" t="s">
        <v>376</v>
      </c>
      <c r="C62" s="61">
        <f>'PAREGGIO PARTE CAPITALE'!B12</f>
        <v>6596107.130000001</v>
      </c>
      <c r="D62" s="8">
        <f>'QUADRO RIASSUNTIVO'!K19</f>
        <v>3051455</v>
      </c>
      <c r="E62" s="8">
        <f>'QUADRO RIASSUNTIVO'!M19</f>
        <v>2050400</v>
      </c>
      <c r="F62" s="8">
        <f>'QUADRO RIASSUNTIVO'!N19</f>
        <v>1632400</v>
      </c>
    </row>
    <row r="63" spans="1:6" ht="19.5" customHeight="1">
      <c r="A63" s="70" t="s">
        <v>402</v>
      </c>
      <c r="B63" s="55"/>
      <c r="C63" s="62"/>
      <c r="D63" s="59">
        <v>0</v>
      </c>
      <c r="E63" s="120">
        <v>0</v>
      </c>
      <c r="F63" s="59">
        <v>0</v>
      </c>
    </row>
    <row r="64" spans="1:6" ht="12.75">
      <c r="A64" s="31"/>
      <c r="B64" s="43"/>
      <c r="C64" s="64"/>
      <c r="D64" s="10"/>
      <c r="E64" s="58"/>
      <c r="F64" s="124"/>
    </row>
    <row r="65" spans="1:6" ht="19.5" customHeight="1">
      <c r="A65" s="68" t="s">
        <v>403</v>
      </c>
      <c r="B65" s="41" t="s">
        <v>376</v>
      </c>
      <c r="C65" s="61"/>
      <c r="D65" s="8">
        <v>0</v>
      </c>
      <c r="E65" s="119">
        <v>0</v>
      </c>
      <c r="F65" s="8">
        <v>0</v>
      </c>
    </row>
    <row r="66" spans="1:6" ht="12.75">
      <c r="A66" s="31"/>
      <c r="B66" s="43"/>
      <c r="C66" s="64"/>
      <c r="D66" s="10"/>
      <c r="E66" s="58"/>
      <c r="F66" s="124"/>
    </row>
    <row r="67" spans="1:6" ht="19.5" customHeight="1">
      <c r="A67" s="68" t="s">
        <v>384</v>
      </c>
      <c r="B67" s="41" t="s">
        <v>374</v>
      </c>
      <c r="C67" s="61"/>
      <c r="D67" s="8">
        <v>0</v>
      </c>
      <c r="E67" s="119">
        <v>0</v>
      </c>
      <c r="F67" s="8">
        <v>0</v>
      </c>
    </row>
    <row r="68" spans="1:6" ht="12.75">
      <c r="A68" s="1353" t="s">
        <v>404</v>
      </c>
      <c r="B68" s="43"/>
      <c r="C68" s="64"/>
      <c r="D68" s="10"/>
      <c r="E68" s="58"/>
      <c r="F68" s="124"/>
    </row>
    <row r="69" spans="1:6" ht="12.75">
      <c r="A69" s="1353"/>
      <c r="B69" s="43"/>
      <c r="C69" s="64"/>
      <c r="D69" s="10"/>
      <c r="E69" s="58"/>
      <c r="F69" s="124"/>
    </row>
    <row r="70" spans="1:6" ht="15" thickBot="1">
      <c r="A70" s="75" t="s">
        <v>405</v>
      </c>
      <c r="B70" s="46"/>
      <c r="C70" s="65">
        <f>+C44+C46+C48-C50-C52-C54-C56-C58+C60-C62-C65+C67</f>
        <v>-200400</v>
      </c>
      <c r="D70" s="65">
        <f>+D44+D46+D48-D50-D52-D54-D56-D58+D60-D62-D65+D67</f>
        <v>-2400</v>
      </c>
      <c r="E70" s="65">
        <f>+E44+E46+E48-E50-E52-E54-E56-E58+E60-E62-E65+E67</f>
        <v>-2400</v>
      </c>
      <c r="F70" s="65">
        <f>+F44+F46+F48-F50-F52-F54-F56-F58+F60-F62-F65+F67</f>
        <v>-2400</v>
      </c>
    </row>
    <row r="71" spans="1:6" ht="12.75" customHeight="1" thickTop="1">
      <c r="A71" s="31"/>
      <c r="B71" s="43"/>
      <c r="C71" s="64"/>
      <c r="D71" s="10"/>
      <c r="E71" s="58"/>
      <c r="F71" s="124"/>
    </row>
    <row r="72" spans="1:6" ht="19.5" customHeight="1">
      <c r="A72" s="68" t="s">
        <v>398</v>
      </c>
      <c r="B72" s="41" t="s">
        <v>374</v>
      </c>
      <c r="C72" s="61"/>
      <c r="D72" s="8">
        <v>0</v>
      </c>
      <c r="E72" s="119">
        <v>0</v>
      </c>
      <c r="F72" s="8">
        <v>0</v>
      </c>
    </row>
    <row r="73" spans="1:6" s="4" customFormat="1" ht="12.75">
      <c r="A73" s="31"/>
      <c r="B73" s="43"/>
      <c r="C73" s="64"/>
      <c r="D73" s="10"/>
      <c r="E73" s="58"/>
      <c r="F73" s="125"/>
    </row>
    <row r="74" spans="1:6" s="4" customFormat="1" ht="19.5" customHeight="1">
      <c r="A74" s="68" t="s">
        <v>399</v>
      </c>
      <c r="B74" s="41" t="s">
        <v>374</v>
      </c>
      <c r="C74" s="61"/>
      <c r="D74" s="8">
        <v>0</v>
      </c>
      <c r="E74" s="119">
        <v>0</v>
      </c>
      <c r="F74" s="8">
        <v>0</v>
      </c>
    </row>
    <row r="75" spans="1:6" s="4" customFormat="1" ht="12.75">
      <c r="A75" s="31"/>
      <c r="B75" s="43"/>
      <c r="C75" s="64"/>
      <c r="D75" s="10"/>
      <c r="E75" s="58"/>
      <c r="F75" s="125"/>
    </row>
    <row r="76" spans="1:6" s="4" customFormat="1" ht="19.5" customHeight="1">
      <c r="A76" s="69" t="s">
        <v>400</v>
      </c>
      <c r="B76" s="41" t="s">
        <v>374</v>
      </c>
      <c r="C76" s="61">
        <f>C58</f>
        <v>350000</v>
      </c>
      <c r="D76" s="8"/>
      <c r="E76" s="119">
        <v>0</v>
      </c>
      <c r="F76" s="8">
        <v>0</v>
      </c>
    </row>
    <row r="77" spans="1:6" ht="12.75">
      <c r="A77" s="31"/>
      <c r="B77" s="43"/>
      <c r="C77" s="64"/>
      <c r="D77" s="10"/>
      <c r="E77" s="58"/>
      <c r="F77" s="124"/>
    </row>
    <row r="78" spans="1:6" ht="19.5" customHeight="1">
      <c r="A78" s="68" t="s">
        <v>406</v>
      </c>
      <c r="B78" s="41" t="s">
        <v>376</v>
      </c>
      <c r="C78" s="61"/>
      <c r="D78" s="8">
        <v>0</v>
      </c>
      <c r="E78" s="119">
        <v>0</v>
      </c>
      <c r="F78" s="8">
        <v>0</v>
      </c>
    </row>
    <row r="79" spans="1:6" ht="12.75">
      <c r="A79" s="31"/>
      <c r="B79" s="43"/>
      <c r="C79" s="64"/>
      <c r="D79" s="10"/>
      <c r="E79" s="58"/>
      <c r="F79" s="124"/>
    </row>
    <row r="80" spans="1:6" s="4" customFormat="1" ht="19.5" customHeight="1">
      <c r="A80" s="68" t="s">
        <v>407</v>
      </c>
      <c r="B80" s="41" t="s">
        <v>376</v>
      </c>
      <c r="C80" s="61"/>
      <c r="D80" s="8">
        <v>0</v>
      </c>
      <c r="E80" s="119">
        <v>0</v>
      </c>
      <c r="F80" s="8">
        <v>0</v>
      </c>
    </row>
    <row r="81" spans="1:6" s="4" customFormat="1" ht="12.75">
      <c r="A81" s="31"/>
      <c r="B81" s="43"/>
      <c r="C81" s="64"/>
      <c r="D81" s="10"/>
      <c r="E81" s="58"/>
      <c r="F81" s="125"/>
    </row>
    <row r="82" spans="1:6" s="4" customFormat="1" ht="19.5" customHeight="1">
      <c r="A82" s="69" t="s">
        <v>408</v>
      </c>
      <c r="B82" s="41" t="s">
        <v>376</v>
      </c>
      <c r="C82" s="61"/>
      <c r="D82" s="8">
        <v>0</v>
      </c>
      <c r="E82" s="119">
        <v>0</v>
      </c>
      <c r="F82" s="8">
        <v>0</v>
      </c>
    </row>
    <row r="83" spans="1:6" ht="12.75">
      <c r="A83" s="1352" t="s">
        <v>409</v>
      </c>
      <c r="B83" s="6"/>
      <c r="C83" s="64"/>
      <c r="D83" s="10"/>
      <c r="E83" s="58"/>
      <c r="F83" s="124"/>
    </row>
    <row r="84" spans="1:6" ht="12.75">
      <c r="A84" s="1353"/>
      <c r="B84" s="43"/>
      <c r="C84" s="64"/>
      <c r="D84" s="10"/>
      <c r="E84" s="58"/>
      <c r="F84" s="279"/>
    </row>
    <row r="85" spans="1:6" ht="15" thickBot="1">
      <c r="A85" s="76" t="s">
        <v>410</v>
      </c>
      <c r="B85" s="77"/>
      <c r="C85" s="60">
        <f>+C42+C70+C72+C74+C76-C78-C80-C82</f>
        <v>112755.10999999987</v>
      </c>
      <c r="D85" s="60">
        <f>+D42+D70+D72+D74+D76-D78-D80-D82</f>
        <v>-203438</v>
      </c>
      <c r="E85" s="122">
        <f>+E42+E70+E72+E74+E76-E78-E80-E82</f>
        <v>0</v>
      </c>
      <c r="F85" s="60">
        <f>+F42+F70+F72+F74+F76-F78-F80-F82</f>
        <v>-44418.93000000017</v>
      </c>
    </row>
    <row r="86" spans="1:5" ht="12.75">
      <c r="A86" s="47"/>
      <c r="B86" s="48"/>
      <c r="C86" s="48"/>
      <c r="D86" s="17"/>
      <c r="E86" s="17"/>
    </row>
    <row r="87" spans="1:5" ht="19.5" customHeight="1">
      <c r="A87" s="1347" t="s">
        <v>411</v>
      </c>
      <c r="B87" s="1347"/>
      <c r="C87" s="1347"/>
      <c r="D87" s="1347"/>
      <c r="E87" s="1347"/>
    </row>
    <row r="88" spans="1:5" s="4" customFormat="1" ht="19.5" customHeight="1">
      <c r="A88" s="1347" t="s">
        <v>412</v>
      </c>
      <c r="B88" s="1347"/>
      <c r="C88" s="1347"/>
      <c r="D88" s="1347"/>
      <c r="E88" s="1347"/>
    </row>
    <row r="89" spans="1:5" s="4" customFormat="1" ht="19.5" customHeight="1">
      <c r="A89" s="1347" t="s">
        <v>413</v>
      </c>
      <c r="B89" s="1347"/>
      <c r="C89" s="1347"/>
      <c r="D89" s="1347"/>
      <c r="E89" s="1347"/>
    </row>
    <row r="90" spans="1:5" s="4" customFormat="1" ht="19.5" customHeight="1">
      <c r="A90" s="1347" t="s">
        <v>418</v>
      </c>
      <c r="B90" s="1347"/>
      <c r="C90" s="1347"/>
      <c r="D90" s="1347"/>
      <c r="E90" s="1347"/>
    </row>
    <row r="91" spans="1:5" s="4" customFormat="1" ht="19.5" customHeight="1">
      <c r="A91" s="1347" t="s">
        <v>419</v>
      </c>
      <c r="B91" s="1347"/>
      <c r="C91" s="1347"/>
      <c r="D91" s="1347"/>
      <c r="E91" s="1347"/>
    </row>
    <row r="92" spans="1:5" s="4" customFormat="1" ht="19.5" customHeight="1">
      <c r="A92" s="1347" t="s">
        <v>420</v>
      </c>
      <c r="B92" s="1347"/>
      <c r="C92" s="1347"/>
      <c r="D92" s="1347"/>
      <c r="E92" s="1347"/>
    </row>
    <row r="93" spans="1:5" s="4" customFormat="1" ht="19.5" customHeight="1">
      <c r="A93" s="1347" t="s">
        <v>421</v>
      </c>
      <c r="B93" s="1347"/>
      <c r="C93" s="1347"/>
      <c r="D93" s="1347"/>
      <c r="E93" s="1347"/>
    </row>
    <row r="94" spans="1:5" s="4" customFormat="1" ht="19.5" customHeight="1">
      <c r="A94" s="1347" t="s">
        <v>423</v>
      </c>
      <c r="B94" s="1347"/>
      <c r="C94" s="1347"/>
      <c r="D94" s="1347"/>
      <c r="E94" s="1347"/>
    </row>
    <row r="95" spans="1:3" s="4" customFormat="1" ht="15" customHeight="1">
      <c r="A95" s="17"/>
      <c r="B95" s="49"/>
      <c r="C95" s="49"/>
    </row>
    <row r="96" spans="1:5" s="4" customFormat="1" ht="19.5" customHeight="1">
      <c r="A96" s="1347" t="s">
        <v>424</v>
      </c>
      <c r="B96" s="1347"/>
      <c r="C96" s="1347"/>
      <c r="D96" s="1347"/>
      <c r="E96" s="1347"/>
    </row>
    <row r="97" spans="1:3" s="4" customFormat="1" ht="12.75">
      <c r="A97" s="38"/>
      <c r="B97" s="49"/>
      <c r="C97" s="49"/>
    </row>
    <row r="98" spans="1:3" s="4" customFormat="1" ht="33.75" customHeight="1">
      <c r="A98" s="38"/>
      <c r="B98" s="49"/>
      <c r="C98" s="49"/>
    </row>
    <row r="99" spans="1:5" s="4" customFormat="1" ht="12.75">
      <c r="A99" s="38"/>
      <c r="B99" s="39"/>
      <c r="C99" s="39"/>
      <c r="D99" s="37"/>
      <c r="E99" s="37"/>
    </row>
    <row r="100" spans="1:5" s="4" customFormat="1" ht="12.75">
      <c r="A100" s="38"/>
      <c r="B100" s="39"/>
      <c r="C100" s="39"/>
      <c r="D100" s="37"/>
      <c r="E100" s="37"/>
    </row>
  </sheetData>
  <sheetProtection/>
  <mergeCells count="16">
    <mergeCell ref="A90:E90"/>
    <mergeCell ref="A96:E96"/>
    <mergeCell ref="A91:E91"/>
    <mergeCell ref="A92:E92"/>
    <mergeCell ref="A93:E93"/>
    <mergeCell ref="A94:E94"/>
    <mergeCell ref="A28:F28"/>
    <mergeCell ref="A88:E88"/>
    <mergeCell ref="A89:E89"/>
    <mergeCell ref="A1:E1"/>
    <mergeCell ref="A2:E2"/>
    <mergeCell ref="A4:B4"/>
    <mergeCell ref="A40:A41"/>
    <mergeCell ref="A68:A69"/>
    <mergeCell ref="A83:A84"/>
    <mergeCell ref="A87:E87"/>
  </mergeCells>
  <printOptions horizontalCentered="1" verticalCentered="1"/>
  <pageMargins left="0" right="0" top="0.1968503937007874" bottom="0.1968503937007874" header="0.5118110236220472" footer="0.5118110236220472"/>
  <pageSetup horizontalDpi="600" verticalDpi="600" orientation="landscape" paperSize="9" scale="60" r:id="rId3"/>
  <rowBreaks count="2" manualBreakCount="2">
    <brk id="27" max="255" man="1"/>
    <brk id="63" max="255" man="1"/>
  </rowBreaks>
  <legacyDrawing r:id="rId2"/>
</worksheet>
</file>

<file path=xl/worksheets/sheet9.xml><?xml version="1.0" encoding="utf-8"?>
<worksheet xmlns="http://schemas.openxmlformats.org/spreadsheetml/2006/main" xmlns:r="http://schemas.openxmlformats.org/officeDocument/2006/relationships">
  <dimension ref="A1:F114"/>
  <sheetViews>
    <sheetView showGridLines="0" zoomScalePageLayoutView="0" workbookViewId="0" topLeftCell="A24">
      <selection activeCell="F41" sqref="F41"/>
    </sheetView>
  </sheetViews>
  <sheetFormatPr defaultColWidth="9.140625" defaultRowHeight="12.75"/>
  <cols>
    <col min="1" max="1" width="75.57421875" style="876" customWidth="1"/>
    <col min="2" max="2" width="6.28125" style="848" customWidth="1"/>
    <col min="3" max="3" width="18.28125" style="848" customWidth="1"/>
    <col min="4" max="4" width="17.28125" style="0" customWidth="1"/>
    <col min="5" max="5" width="16.57421875" style="0" customWidth="1"/>
    <col min="6" max="6" width="15.140625" style="0" customWidth="1"/>
  </cols>
  <sheetData>
    <row r="1" spans="1:6" ht="21">
      <c r="A1" s="1360" t="s">
        <v>696</v>
      </c>
      <c r="B1" s="1360"/>
      <c r="C1" s="1360"/>
      <c r="D1" s="1360"/>
      <c r="E1" s="1360"/>
      <c r="F1" s="1360"/>
    </row>
    <row r="2" spans="1:6" ht="14.25">
      <c r="A2" s="846"/>
      <c r="B2" s="847"/>
      <c r="C2" s="846"/>
      <c r="D2" s="846"/>
      <c r="E2" s="846"/>
      <c r="F2" s="846"/>
    </row>
    <row r="3" spans="1:6" ht="21">
      <c r="A3" s="1361" t="s">
        <v>370</v>
      </c>
      <c r="B3" s="1362"/>
      <c r="C3" s="1362"/>
      <c r="D3" s="1362"/>
      <c r="E3" s="1362"/>
      <c r="F3" s="1362"/>
    </row>
    <row r="4" spans="1:6" ht="21.75" customHeight="1">
      <c r="A4" s="1361" t="s">
        <v>920</v>
      </c>
      <c r="B4" s="1362"/>
      <c r="C4" s="1362"/>
      <c r="D4" s="1362"/>
      <c r="E4" s="1362"/>
      <c r="F4" s="1362"/>
    </row>
    <row r="5" ht="13.5" thickBot="1">
      <c r="A5"/>
    </row>
    <row r="6" spans="1:6" ht="57.75" thickTop="1">
      <c r="A6" s="1363" t="s">
        <v>371</v>
      </c>
      <c r="B6" s="1364"/>
      <c r="C6" s="849" t="s">
        <v>990</v>
      </c>
      <c r="D6" s="849" t="s">
        <v>919</v>
      </c>
      <c r="E6" s="849" t="s">
        <v>691</v>
      </c>
      <c r="F6" s="850" t="s">
        <v>913</v>
      </c>
    </row>
    <row r="7" spans="1:6" ht="12.75">
      <c r="A7" s="851"/>
      <c r="B7" s="852"/>
      <c r="C7" s="954"/>
      <c r="D7" s="955"/>
      <c r="E7" s="955"/>
      <c r="F7" s="956"/>
    </row>
    <row r="8" spans="1:6" ht="14.25">
      <c r="A8" s="853" t="s">
        <v>372</v>
      </c>
      <c r="B8" s="854"/>
      <c r="C8" s="957">
        <f>CASSA!B3</f>
        <v>1462180.36</v>
      </c>
      <c r="D8" s="958"/>
      <c r="E8" s="958"/>
      <c r="F8" s="959"/>
    </row>
    <row r="9" spans="1:6" ht="12.75">
      <c r="A9" s="855"/>
      <c r="B9" s="852"/>
      <c r="C9" s="960"/>
      <c r="D9" s="955"/>
      <c r="E9" s="955"/>
      <c r="F9" s="956"/>
    </row>
    <row r="10" spans="1:6" ht="12.75">
      <c r="A10" s="857" t="s">
        <v>373</v>
      </c>
      <c r="B10" s="858" t="s">
        <v>374</v>
      </c>
      <c r="C10" s="1000">
        <f>ENTRATA!J211</f>
        <v>328139.42</v>
      </c>
      <c r="D10" s="961">
        <f>ENTRATA!K211</f>
        <v>0</v>
      </c>
      <c r="E10" s="961">
        <f>ENTRATA!M211</f>
        <v>0</v>
      </c>
      <c r="F10" s="962">
        <f>ENTRATA!N211</f>
        <v>0</v>
      </c>
    </row>
    <row r="11" spans="1:6" ht="12.75">
      <c r="A11" s="857"/>
      <c r="B11" s="858"/>
      <c r="C11" s="1000"/>
      <c r="D11" s="961"/>
      <c r="E11" s="963"/>
      <c r="F11" s="962"/>
    </row>
    <row r="12" spans="1:6" ht="12.75">
      <c r="A12" s="861" t="s">
        <v>375</v>
      </c>
      <c r="B12" s="858" t="s">
        <v>376</v>
      </c>
      <c r="C12" s="1000"/>
      <c r="D12" s="961">
        <v>0</v>
      </c>
      <c r="E12" s="961">
        <v>0</v>
      </c>
      <c r="F12" s="962">
        <v>0</v>
      </c>
    </row>
    <row r="13" spans="1:6" ht="12.75">
      <c r="A13" s="857"/>
      <c r="B13" s="858"/>
      <c r="C13" s="1000"/>
      <c r="D13" s="961"/>
      <c r="E13" s="961"/>
      <c r="F13" s="962"/>
    </row>
    <row r="14" spans="1:6" ht="12.75">
      <c r="A14" s="857" t="s">
        <v>377</v>
      </c>
      <c r="B14" s="858" t="s">
        <v>374</v>
      </c>
      <c r="C14" s="1000">
        <f>'PAREGGIO PARTE CORRENTE'!C6+'PAREGGIO PARTE CORRENTE'!C7+'PAREGGIO PARTE CORRENTE'!C8</f>
        <v>2393896.97</v>
      </c>
      <c r="D14" s="961">
        <f>'PAREGGIO PARTE CORRENTE'!D6+'PAREGGIO PARTE CORRENTE'!D7+'PAREGGIO PARTE CORRENTE'!D8</f>
        <v>2345803</v>
      </c>
      <c r="E14" s="961">
        <f>'PAREGGIO PARTE CORRENTE'!E6+'PAREGGIO PARTE CORRENTE'!E7+'PAREGGIO PARTE CORRENTE'!E8</f>
        <v>2219307</v>
      </c>
      <c r="F14" s="962">
        <f>'PAREGGIO PARTE CORRENTE'!F6+'PAREGGIO PARTE CORRENTE'!F7+'PAREGGIO PARTE CORRENTE'!F8</f>
        <v>2197805</v>
      </c>
    </row>
    <row r="15" spans="1:6" ht="14.25">
      <c r="A15" s="862" t="s">
        <v>378</v>
      </c>
      <c r="B15" s="858"/>
      <c r="C15" s="1000"/>
      <c r="D15" s="964">
        <v>0</v>
      </c>
      <c r="E15" s="964">
        <v>0</v>
      </c>
      <c r="F15" s="965">
        <v>0</v>
      </c>
    </row>
    <row r="16" spans="1:6" ht="12.75">
      <c r="A16" s="857"/>
      <c r="B16" s="858"/>
      <c r="C16" s="1000"/>
      <c r="D16" s="961"/>
      <c r="E16" s="961"/>
      <c r="F16" s="962"/>
    </row>
    <row r="17" spans="1:6" ht="26.25">
      <c r="A17" s="861" t="s">
        <v>379</v>
      </c>
      <c r="B17" s="858" t="s">
        <v>374</v>
      </c>
      <c r="C17" s="1001"/>
      <c r="D17" s="961">
        <v>0</v>
      </c>
      <c r="E17" s="961">
        <v>0</v>
      </c>
      <c r="F17" s="962">
        <v>0</v>
      </c>
    </row>
    <row r="18" spans="1:6" ht="12.75">
      <c r="A18" s="857"/>
      <c r="B18" s="858"/>
      <c r="C18" s="1001"/>
      <c r="D18" s="961"/>
      <c r="E18" s="961"/>
      <c r="F18" s="962"/>
    </row>
    <row r="19" spans="1:6" ht="12.75">
      <c r="A19" s="857" t="s">
        <v>380</v>
      </c>
      <c r="B19" s="858" t="s">
        <v>376</v>
      </c>
      <c r="C19" s="1034">
        <f>'PAREGGIO PARTE CORRENTE'!C12</f>
        <v>2621366.2800000003</v>
      </c>
      <c r="D19" s="961">
        <f>'PAREGGIO PARTE CORRENTE'!D12</f>
        <v>2223863</v>
      </c>
      <c r="E19" s="961">
        <f>'PAREGGIO PARTE CORRENTE'!E12</f>
        <v>2088072</v>
      </c>
      <c r="F19" s="962">
        <f>'PAREGGIO PARTE CORRENTE'!F12</f>
        <v>2097955</v>
      </c>
    </row>
    <row r="20" spans="1:6" ht="14.25">
      <c r="A20" s="862" t="s">
        <v>381</v>
      </c>
      <c r="B20" s="858"/>
      <c r="C20" s="1001"/>
      <c r="D20" s="961"/>
      <c r="E20" s="961"/>
      <c r="F20" s="962"/>
    </row>
    <row r="21" spans="1:6" ht="14.25">
      <c r="A21" s="862" t="s">
        <v>382</v>
      </c>
      <c r="B21" s="858"/>
      <c r="C21" s="1034">
        <f>ENTRATA!J211</f>
        <v>328139.42</v>
      </c>
      <c r="D21" s="964">
        <v>0</v>
      </c>
      <c r="E21" s="964">
        <v>0</v>
      </c>
      <c r="F21" s="965">
        <v>0</v>
      </c>
    </row>
    <row r="22" spans="1:6" ht="14.25">
      <c r="A22" s="862" t="s">
        <v>383</v>
      </c>
      <c r="B22" s="858"/>
      <c r="C22" s="1034">
        <f>SPESA!L278</f>
        <v>82326</v>
      </c>
      <c r="D22" s="964">
        <f>SPESA!N278</f>
        <v>73632</v>
      </c>
      <c r="E22" s="964">
        <f>SPESA!P278</f>
        <v>73632</v>
      </c>
      <c r="F22" s="965">
        <f>SPESA!R278</f>
        <v>63600</v>
      </c>
    </row>
    <row r="23" spans="1:6" ht="12.75">
      <c r="A23" s="857"/>
      <c r="B23" s="858"/>
      <c r="C23" s="1001"/>
      <c r="D23" s="961"/>
      <c r="E23" s="961"/>
      <c r="F23" s="962"/>
    </row>
    <row r="24" spans="1:6" ht="12.75">
      <c r="A24" s="857" t="s">
        <v>384</v>
      </c>
      <c r="B24" s="858" t="s">
        <v>376</v>
      </c>
      <c r="C24" s="1001"/>
      <c r="D24" s="961">
        <v>0</v>
      </c>
      <c r="E24" s="961">
        <v>0</v>
      </c>
      <c r="F24" s="962">
        <v>0</v>
      </c>
    </row>
    <row r="25" spans="1:6" ht="12.75">
      <c r="A25" s="857"/>
      <c r="B25" s="858"/>
      <c r="C25" s="1001"/>
      <c r="D25" s="961"/>
      <c r="E25" s="961"/>
      <c r="F25" s="962"/>
    </row>
    <row r="26" spans="1:6" ht="12.75">
      <c r="A26" s="861" t="s">
        <v>385</v>
      </c>
      <c r="B26" s="858" t="s">
        <v>376</v>
      </c>
      <c r="C26" s="1034">
        <f>'PAREGGIO PARTE CORRENTE'!C13</f>
        <v>135515</v>
      </c>
      <c r="D26" s="961">
        <f>'PAREGGIO PARTE CORRENTE'!D13</f>
        <v>119540</v>
      </c>
      <c r="E26" s="961">
        <f>'PAREGGIO PARTE CORRENTE'!E13</f>
        <v>128835</v>
      </c>
      <c r="F26" s="962">
        <f>'PAREGGIO PARTE CORRENTE'!F13</f>
        <v>97450</v>
      </c>
    </row>
    <row r="27" spans="1:6" ht="14.25">
      <c r="A27" s="862" t="s">
        <v>378</v>
      </c>
      <c r="B27" s="863"/>
      <c r="C27" s="1002"/>
      <c r="D27" s="964">
        <v>0</v>
      </c>
      <c r="E27" s="964">
        <v>0</v>
      </c>
      <c r="F27" s="965">
        <v>0</v>
      </c>
    </row>
    <row r="28" spans="1:6" ht="28.5">
      <c r="A28" s="864" t="s">
        <v>697</v>
      </c>
      <c r="B28" s="858"/>
      <c r="C28" s="1001"/>
      <c r="D28" s="964">
        <v>0</v>
      </c>
      <c r="E28" s="964">
        <v>0</v>
      </c>
      <c r="F28" s="965">
        <v>0</v>
      </c>
    </row>
    <row r="29" spans="1:6" ht="12.75">
      <c r="A29" s="861"/>
      <c r="B29" s="858"/>
      <c r="C29" s="1001"/>
      <c r="D29" s="961"/>
      <c r="E29" s="961"/>
      <c r="F29" s="962"/>
    </row>
    <row r="30" spans="1:6" ht="14.25">
      <c r="A30" s="865" t="s">
        <v>386</v>
      </c>
      <c r="B30" s="866"/>
      <c r="C30" s="966">
        <f>+C10+C14+C17-C19-C24-C12-C26</f>
        <v>-34844.89000000013</v>
      </c>
      <c r="D30" s="966">
        <f>+D10+D14+D17-D19-D24-D12-D26</f>
        <v>2400</v>
      </c>
      <c r="E30" s="966">
        <f>+E10+E14+E17-E19-E24-E12-E26</f>
        <v>2400</v>
      </c>
      <c r="F30" s="967">
        <f>+F10+F14+F17-F19-F24-F12-F26</f>
        <v>2400</v>
      </c>
    </row>
    <row r="31" spans="1:6" ht="12.75">
      <c r="A31" s="867"/>
      <c r="B31" s="854"/>
      <c r="C31" s="868"/>
      <c r="D31" s="869"/>
      <c r="E31" s="869"/>
      <c r="F31" s="870"/>
    </row>
    <row r="32" spans="1:6" ht="31.5" customHeight="1">
      <c r="A32" s="1365" t="s">
        <v>698</v>
      </c>
      <c r="B32" s="1366"/>
      <c r="C32" s="1366"/>
      <c r="D32" s="1366"/>
      <c r="E32" s="1366"/>
      <c r="F32" s="1367"/>
    </row>
    <row r="33" spans="1:6" ht="12.75">
      <c r="A33" s="857"/>
      <c r="B33" s="852"/>
      <c r="C33" s="1001"/>
      <c r="D33" s="871"/>
      <c r="E33" s="871"/>
      <c r="F33" s="872"/>
    </row>
    <row r="34" spans="1:6" ht="15.75">
      <c r="A34" s="861" t="s">
        <v>699</v>
      </c>
      <c r="B34" s="858" t="s">
        <v>374</v>
      </c>
      <c r="C34" s="1034">
        <f>'PAREGGIO PARTE CORRENTE'!C5</f>
        <v>37244.89</v>
      </c>
      <c r="D34" s="961">
        <v>0</v>
      </c>
      <c r="E34" s="961" t="s">
        <v>389</v>
      </c>
      <c r="F34" s="962" t="s">
        <v>389</v>
      </c>
    </row>
    <row r="35" spans="1:6" ht="14.25">
      <c r="A35" s="862" t="s">
        <v>378</v>
      </c>
      <c r="B35" s="863"/>
      <c r="C35" s="1002"/>
      <c r="D35" s="964">
        <v>0</v>
      </c>
      <c r="E35" s="961"/>
      <c r="F35" s="962"/>
    </row>
    <row r="36" spans="1:6" ht="12.75">
      <c r="A36" s="857"/>
      <c r="B36" s="858"/>
      <c r="C36" s="1001"/>
      <c r="D36" s="961"/>
      <c r="E36" s="961"/>
      <c r="F36" s="962"/>
    </row>
    <row r="37" spans="1:6" ht="26.25">
      <c r="A37" s="861" t="s">
        <v>700</v>
      </c>
      <c r="B37" s="858" t="s">
        <v>374</v>
      </c>
      <c r="C37" s="1001"/>
      <c r="D37" s="961">
        <v>0</v>
      </c>
      <c r="E37" s="961">
        <v>0</v>
      </c>
      <c r="F37" s="962">
        <v>0</v>
      </c>
    </row>
    <row r="38" spans="1:6" ht="14.25">
      <c r="A38" s="862" t="s">
        <v>378</v>
      </c>
      <c r="B38" s="863"/>
      <c r="C38" s="1002"/>
      <c r="D38" s="964">
        <v>0</v>
      </c>
      <c r="E38" s="964">
        <v>0</v>
      </c>
      <c r="F38" s="965">
        <v>0</v>
      </c>
    </row>
    <row r="39" spans="1:6" ht="12.75">
      <c r="A39" s="857"/>
      <c r="B39" s="858"/>
      <c r="C39" s="1001"/>
      <c r="D39" s="961"/>
      <c r="E39" s="961"/>
      <c r="F39" s="962"/>
    </row>
    <row r="40" spans="1:6" ht="26.25">
      <c r="A40" s="861" t="s">
        <v>701</v>
      </c>
      <c r="B40" s="858" t="s">
        <v>376</v>
      </c>
      <c r="C40" s="1000">
        <f>ENTRATA!J100</f>
        <v>2400</v>
      </c>
      <c r="D40" s="961">
        <f>ENTRATA!K100</f>
        <v>2400</v>
      </c>
      <c r="E40" s="961">
        <f>ENTRATA!M100</f>
        <v>2400</v>
      </c>
      <c r="F40" s="962">
        <f>ENTRATA!N100</f>
        <v>2400</v>
      </c>
    </row>
    <row r="41" spans="1:6" ht="12.75">
      <c r="A41" s="857"/>
      <c r="B41" s="858"/>
      <c r="C41" s="1001"/>
      <c r="D41" s="961"/>
      <c r="E41" s="961"/>
      <c r="F41" s="962"/>
    </row>
    <row r="42" spans="1:6" ht="12.75">
      <c r="A42" s="861" t="s">
        <v>392</v>
      </c>
      <c r="B42" s="858" t="s">
        <v>374</v>
      </c>
      <c r="C42" s="1001"/>
      <c r="D42" s="961">
        <v>0</v>
      </c>
      <c r="E42" s="961">
        <v>0</v>
      </c>
      <c r="F42" s="962">
        <v>0</v>
      </c>
    </row>
    <row r="43" spans="1:6" ht="12.75">
      <c r="A43" s="867"/>
      <c r="B43" s="854"/>
      <c r="C43" s="868"/>
      <c r="D43" s="968"/>
      <c r="E43" s="968"/>
      <c r="F43" s="969"/>
    </row>
    <row r="44" spans="1:6" ht="12.75">
      <c r="A44" s="1355" t="s">
        <v>702</v>
      </c>
      <c r="B44" s="858"/>
      <c r="C44" s="1001"/>
      <c r="D44" s="961"/>
      <c r="E44" s="961"/>
      <c r="F44" s="962"/>
    </row>
    <row r="45" spans="1:6" ht="12.75">
      <c r="A45" s="1356"/>
      <c r="B45" s="858"/>
      <c r="C45" s="1001"/>
      <c r="D45" s="961"/>
      <c r="E45" s="961"/>
      <c r="F45" s="962"/>
    </row>
    <row r="46" spans="1:6" ht="15" thickBot="1">
      <c r="A46" s="873" t="s">
        <v>394</v>
      </c>
      <c r="B46" s="874"/>
      <c r="C46" s="970">
        <f>+C30+C34+C37-C40+C42</f>
        <v>-1.3096723705530167E-10</v>
      </c>
      <c r="D46" s="970">
        <f>+D30+D34+D37-D40+D42</f>
        <v>0</v>
      </c>
      <c r="E46" s="970">
        <f>+E30+E37-E40+E42</f>
        <v>0</v>
      </c>
      <c r="F46" s="971">
        <f>+F30+F37-F40+F42</f>
        <v>0</v>
      </c>
    </row>
    <row r="47" spans="1:6" ht="13.5" thickTop="1">
      <c r="A47" s="857"/>
      <c r="B47" s="858"/>
      <c r="C47" s="1001"/>
      <c r="D47" s="859"/>
      <c r="E47" s="859"/>
      <c r="F47" s="860"/>
    </row>
    <row r="48" spans="1:6" ht="15.75">
      <c r="A48" s="974" t="s">
        <v>865</v>
      </c>
      <c r="B48" s="858" t="s">
        <v>374</v>
      </c>
      <c r="C48" s="1034">
        <f>'PAREGGIO PARTE CAPITALE'!B5</f>
        <v>119000</v>
      </c>
      <c r="D48" s="961">
        <v>0</v>
      </c>
      <c r="E48" s="961" t="s">
        <v>389</v>
      </c>
      <c r="F48" s="962" t="s">
        <v>389</v>
      </c>
    </row>
    <row r="49" spans="1:6" ht="12.75">
      <c r="A49" s="857"/>
      <c r="B49" s="858"/>
      <c r="C49" s="1001"/>
      <c r="D49" s="961"/>
      <c r="E49" s="961"/>
      <c r="F49" s="962"/>
    </row>
    <row r="50" spans="1:6" ht="12.75">
      <c r="A50" s="857" t="s">
        <v>396</v>
      </c>
      <c r="B50" s="858" t="s">
        <v>374</v>
      </c>
      <c r="C50" s="1034">
        <f>'PAREGGIO PARTE CAPITALE'!B4</f>
        <v>1126337.82</v>
      </c>
      <c r="D50" s="961">
        <v>0</v>
      </c>
      <c r="E50" s="961">
        <v>0</v>
      </c>
      <c r="F50" s="962">
        <v>0</v>
      </c>
    </row>
    <row r="51" spans="1:6" ht="12.75">
      <c r="A51" s="857"/>
      <c r="B51" s="858"/>
      <c r="C51" s="1001"/>
      <c r="D51" s="961"/>
      <c r="E51" s="961"/>
      <c r="F51" s="962"/>
    </row>
    <row r="52" spans="1:6" ht="12.75">
      <c r="A52" s="857" t="s">
        <v>397</v>
      </c>
      <c r="B52" s="858" t="s">
        <v>374</v>
      </c>
      <c r="C52" s="1041">
        <f>'PAREGGIO COMPLESSIVO'!B13+'PAREGGIO COMPLESSIVO'!B14+'PAREGGIO COMPLESSIVO'!B15</f>
        <v>5498369.3100000005</v>
      </c>
      <c r="D52" s="961">
        <f>EQUILIBRI!D48</f>
        <v>3049055</v>
      </c>
      <c r="E52" s="961">
        <f>EQUILIBRI!E48</f>
        <v>2048000</v>
      </c>
      <c r="F52" s="962">
        <f>EQUILIBRI!F48</f>
        <v>1630000</v>
      </c>
    </row>
    <row r="53" spans="1:6" ht="12.75">
      <c r="A53" s="857"/>
      <c r="B53" s="858"/>
      <c r="C53" s="1001"/>
      <c r="D53" s="961"/>
      <c r="E53" s="961"/>
      <c r="F53" s="962"/>
    </row>
    <row r="54" spans="1:6" ht="26.25">
      <c r="A54" s="861" t="s">
        <v>379</v>
      </c>
      <c r="B54" s="858" t="s">
        <v>376</v>
      </c>
      <c r="C54" s="1001"/>
      <c r="D54" s="961">
        <v>0</v>
      </c>
      <c r="E54" s="961">
        <v>0</v>
      </c>
      <c r="F54" s="962">
        <v>0</v>
      </c>
    </row>
    <row r="55" spans="1:6" ht="12.75">
      <c r="A55" s="857"/>
      <c r="B55" s="858"/>
      <c r="C55" s="1001"/>
      <c r="D55" s="961"/>
      <c r="E55" s="961"/>
      <c r="F55" s="962"/>
    </row>
    <row r="56" spans="1:6" ht="26.25">
      <c r="A56" s="861" t="s">
        <v>700</v>
      </c>
      <c r="B56" s="858" t="s">
        <v>376</v>
      </c>
      <c r="C56" s="1001"/>
      <c r="D56" s="961">
        <v>0</v>
      </c>
      <c r="E56" s="961">
        <v>0</v>
      </c>
      <c r="F56" s="962">
        <v>0</v>
      </c>
    </row>
    <row r="57" spans="1:6" ht="12.75">
      <c r="A57" s="857"/>
      <c r="B57" s="858"/>
      <c r="C57" s="1001"/>
      <c r="D57" s="961"/>
      <c r="E57" s="961"/>
      <c r="F57" s="962"/>
    </row>
    <row r="58" spans="1:6" ht="12.75">
      <c r="A58" s="857" t="s">
        <v>398</v>
      </c>
      <c r="B58" s="858" t="s">
        <v>376</v>
      </c>
      <c r="C58" s="1001"/>
      <c r="D58" s="961">
        <v>0</v>
      </c>
      <c r="E58" s="961">
        <v>0</v>
      </c>
      <c r="F58" s="962">
        <v>0</v>
      </c>
    </row>
    <row r="59" spans="1:6" ht="12.75">
      <c r="A59" s="857"/>
      <c r="B59" s="858"/>
      <c r="C59" s="1001"/>
      <c r="D59" s="961"/>
      <c r="E59" s="961"/>
      <c r="F59" s="962"/>
    </row>
    <row r="60" spans="1:6" ht="12.75">
      <c r="A60" s="857" t="s">
        <v>399</v>
      </c>
      <c r="B60" s="858" t="s">
        <v>376</v>
      </c>
      <c r="C60" s="1001"/>
      <c r="D60" s="961">
        <v>0</v>
      </c>
      <c r="E60" s="961">
        <v>0</v>
      </c>
      <c r="F60" s="962">
        <v>0</v>
      </c>
    </row>
    <row r="61" spans="1:6" ht="12.75">
      <c r="A61" s="857"/>
      <c r="B61" s="858"/>
      <c r="C61" s="1001"/>
      <c r="D61" s="961"/>
      <c r="E61" s="961"/>
      <c r="F61" s="962"/>
    </row>
    <row r="62" spans="1:6" ht="12.75">
      <c r="A62" s="861" t="s">
        <v>400</v>
      </c>
      <c r="B62" s="858" t="s">
        <v>376</v>
      </c>
      <c r="C62" s="1034">
        <f>'PAREGGIO COMPLESSIVO'!B14</f>
        <v>350000</v>
      </c>
      <c r="D62" s="961">
        <f>EQUILIBRI!D58</f>
        <v>0</v>
      </c>
      <c r="E62" s="961">
        <v>0</v>
      </c>
      <c r="F62" s="962">
        <v>0</v>
      </c>
    </row>
    <row r="63" spans="1:6" ht="12.75">
      <c r="A63" s="857"/>
      <c r="B63" s="858"/>
      <c r="C63" s="1001"/>
      <c r="D63" s="961"/>
      <c r="E63" s="961"/>
      <c r="F63" s="962"/>
    </row>
    <row r="64" spans="1:6" ht="26.25">
      <c r="A64" s="861" t="s">
        <v>701</v>
      </c>
      <c r="B64" s="858" t="s">
        <v>374</v>
      </c>
      <c r="C64" s="1034">
        <f>C40</f>
        <v>2400</v>
      </c>
      <c r="D64" s="961">
        <f>D40</f>
        <v>2400</v>
      </c>
      <c r="E64" s="961">
        <f>E40</f>
        <v>2400</v>
      </c>
      <c r="F64" s="962">
        <f>F40</f>
        <v>2400</v>
      </c>
    </row>
    <row r="65" spans="1:6" ht="12.75">
      <c r="A65" s="857"/>
      <c r="B65" s="858"/>
      <c r="C65" s="1001"/>
      <c r="D65" s="859"/>
      <c r="E65" s="859"/>
      <c r="F65" s="860"/>
    </row>
    <row r="66" spans="1:6" ht="12.75">
      <c r="A66" s="861" t="s">
        <v>392</v>
      </c>
      <c r="B66" s="858" t="s">
        <v>376</v>
      </c>
      <c r="C66" s="1001"/>
      <c r="D66" s="961">
        <v>0</v>
      </c>
      <c r="E66" s="961">
        <v>0</v>
      </c>
      <c r="F66" s="962">
        <v>0</v>
      </c>
    </row>
    <row r="67" spans="1:6" ht="12.75">
      <c r="A67" s="857"/>
      <c r="B67" s="858"/>
      <c r="C67" s="1001"/>
      <c r="D67" s="961"/>
      <c r="E67" s="961"/>
      <c r="F67" s="962"/>
    </row>
    <row r="68" spans="1:6" ht="12.75">
      <c r="A68" s="857" t="s">
        <v>401</v>
      </c>
      <c r="B68" s="858" t="s">
        <v>376</v>
      </c>
      <c r="C68" s="1034">
        <f>'PAREGGIO PARTE CAPITALE'!B12</f>
        <v>6596107.130000001</v>
      </c>
      <c r="D68" s="961">
        <f>EQUILIBRI!D62</f>
        <v>3051455</v>
      </c>
      <c r="E68" s="961">
        <f>EQUILIBRI!E62</f>
        <v>2050400</v>
      </c>
      <c r="F68" s="962">
        <f>EQUILIBRI!F62</f>
        <v>1632400</v>
      </c>
    </row>
    <row r="69" spans="1:6" ht="14.25">
      <c r="A69" s="862" t="s">
        <v>402</v>
      </c>
      <c r="B69" s="863"/>
      <c r="C69" s="1042">
        <f>'PAREGGIO PARTE CAPITALE'!B4</f>
        <v>1126337.82</v>
      </c>
      <c r="D69" s="964">
        <v>0</v>
      </c>
      <c r="E69" s="964">
        <v>0</v>
      </c>
      <c r="F69" s="965">
        <v>0</v>
      </c>
    </row>
    <row r="70" spans="1:6" ht="12.75">
      <c r="A70" s="857"/>
      <c r="B70" s="858"/>
      <c r="C70" s="1001"/>
      <c r="D70" s="961"/>
      <c r="E70" s="961"/>
      <c r="F70" s="962"/>
    </row>
    <row r="71" spans="1:6" ht="12.75">
      <c r="A71" s="857" t="s">
        <v>403</v>
      </c>
      <c r="B71" s="858" t="s">
        <v>376</v>
      </c>
      <c r="C71" s="1001"/>
      <c r="D71" s="961">
        <v>0</v>
      </c>
      <c r="E71" s="961">
        <v>0</v>
      </c>
      <c r="F71" s="962">
        <v>0</v>
      </c>
    </row>
    <row r="72" spans="1:6" ht="12.75">
      <c r="A72" s="857"/>
      <c r="B72" s="858"/>
      <c r="C72" s="1001"/>
      <c r="D72" s="961"/>
      <c r="E72" s="961"/>
      <c r="F72" s="962"/>
    </row>
    <row r="73" spans="1:6" ht="12.75">
      <c r="A73" s="857" t="s">
        <v>384</v>
      </c>
      <c r="B73" s="858" t="s">
        <v>374</v>
      </c>
      <c r="C73" s="1001"/>
      <c r="D73" s="961">
        <v>0</v>
      </c>
      <c r="E73" s="961">
        <v>0</v>
      </c>
      <c r="F73" s="962">
        <v>0</v>
      </c>
    </row>
    <row r="74" spans="1:6" ht="12.75">
      <c r="A74" s="867"/>
      <c r="B74" s="854"/>
      <c r="C74" s="868"/>
      <c r="D74" s="869"/>
      <c r="E74" s="869"/>
      <c r="F74" s="870"/>
    </row>
    <row r="75" spans="1:6" ht="12.75">
      <c r="A75" s="1355" t="s">
        <v>404</v>
      </c>
      <c r="B75" s="852"/>
      <c r="C75" s="1001"/>
      <c r="D75" s="859"/>
      <c r="E75" s="859"/>
      <c r="F75" s="860"/>
    </row>
    <row r="76" spans="1:6" ht="12.75">
      <c r="A76" s="1356"/>
      <c r="B76" s="858"/>
      <c r="C76" s="1001"/>
      <c r="D76" s="961"/>
      <c r="E76" s="961"/>
      <c r="F76" s="962"/>
    </row>
    <row r="77" spans="1:6" ht="15" thickBot="1">
      <c r="A77" s="873" t="s">
        <v>703</v>
      </c>
      <c r="B77" s="874"/>
      <c r="C77" s="970">
        <f>+C48+C50+C52-C54-C56-C58-C60-C62+C64-C66-C68-C71+C73</f>
        <v>-200000</v>
      </c>
      <c r="D77" s="970">
        <f>+D48+D50+D52-D54-D56-D58-D60-D62+D64-D66-D68-D71+D73</f>
        <v>0</v>
      </c>
      <c r="E77" s="970">
        <f>+E50+E52-E54-E56-E58-E60-E62+E64-E66-E68-E71+E73</f>
        <v>0</v>
      </c>
      <c r="F77" s="971">
        <f>+F50+F52-F54-F56-F58-F60-F62+F64-F66-F68-F71+F73</f>
        <v>0</v>
      </c>
    </row>
    <row r="78" spans="1:6" ht="13.5" thickTop="1">
      <c r="A78" s="857"/>
      <c r="B78" s="858"/>
      <c r="C78"/>
      <c r="D78" s="859"/>
      <c r="E78" s="859"/>
      <c r="F78" s="860"/>
    </row>
    <row r="79" spans="1:6" ht="12.75">
      <c r="A79" s="857"/>
      <c r="B79" s="858"/>
      <c r="C79"/>
      <c r="D79" s="859"/>
      <c r="E79" s="859"/>
      <c r="F79" s="860"/>
    </row>
    <row r="80" spans="1:6" ht="12.75">
      <c r="A80" s="857"/>
      <c r="B80" s="858"/>
      <c r="C80"/>
      <c r="D80" s="859"/>
      <c r="E80" s="859"/>
      <c r="F80" s="860"/>
    </row>
    <row r="81" spans="1:6" ht="12.75">
      <c r="A81" s="857" t="s">
        <v>398</v>
      </c>
      <c r="B81" s="858" t="s">
        <v>374</v>
      </c>
      <c r="C81"/>
      <c r="D81" s="961">
        <v>0</v>
      </c>
      <c r="E81" s="961">
        <v>0</v>
      </c>
      <c r="F81" s="962">
        <v>0</v>
      </c>
    </row>
    <row r="82" spans="1:6" ht="12.75">
      <c r="A82" s="857"/>
      <c r="B82" s="858"/>
      <c r="C82"/>
      <c r="D82" s="961"/>
      <c r="E82" s="961"/>
      <c r="F82" s="962"/>
    </row>
    <row r="83" spans="1:6" ht="12.75">
      <c r="A83" s="857" t="s">
        <v>399</v>
      </c>
      <c r="B83" s="858" t="s">
        <v>374</v>
      </c>
      <c r="C83"/>
      <c r="D83" s="961">
        <v>0</v>
      </c>
      <c r="E83" s="961">
        <v>0</v>
      </c>
      <c r="F83" s="962">
        <v>0</v>
      </c>
    </row>
    <row r="84" spans="1:6" ht="12.75">
      <c r="A84" s="857"/>
      <c r="B84" s="858"/>
      <c r="C84"/>
      <c r="D84" s="961"/>
      <c r="E84" s="961"/>
      <c r="F84" s="962"/>
    </row>
    <row r="85" spans="1:6" ht="12.75">
      <c r="A85" s="861" t="s">
        <v>400</v>
      </c>
      <c r="B85" s="858" t="s">
        <v>374</v>
      </c>
      <c r="C85" s="1043">
        <f>C62</f>
        <v>350000</v>
      </c>
      <c r="D85" s="1074">
        <f>D62</f>
        <v>0</v>
      </c>
      <c r="E85" s="961">
        <v>0</v>
      </c>
      <c r="F85" s="962">
        <v>0</v>
      </c>
    </row>
    <row r="86" spans="1:6" ht="12.75">
      <c r="A86" s="857"/>
      <c r="B86" s="858"/>
      <c r="C86"/>
      <c r="D86" s="961"/>
      <c r="E86" s="961"/>
      <c r="F86" s="962"/>
    </row>
    <row r="87" spans="1:6" ht="12.75">
      <c r="A87" s="857" t="s">
        <v>406</v>
      </c>
      <c r="B87" s="858" t="s">
        <v>376</v>
      </c>
      <c r="C87"/>
      <c r="D87" s="961">
        <v>0</v>
      </c>
      <c r="E87" s="961">
        <v>0</v>
      </c>
      <c r="F87" s="962">
        <v>0</v>
      </c>
    </row>
    <row r="88" spans="1:6" ht="12.75">
      <c r="A88" s="857"/>
      <c r="B88" s="858"/>
      <c r="C88"/>
      <c r="D88" s="961"/>
      <c r="E88" s="961"/>
      <c r="F88" s="962"/>
    </row>
    <row r="89" spans="1:6" ht="12.75">
      <c r="A89" s="857" t="s">
        <v>407</v>
      </c>
      <c r="B89" s="858" t="s">
        <v>376</v>
      </c>
      <c r="C89"/>
      <c r="D89" s="961">
        <v>0</v>
      </c>
      <c r="E89" s="961">
        <v>0</v>
      </c>
      <c r="F89" s="962">
        <v>0</v>
      </c>
    </row>
    <row r="90" spans="1:6" ht="12.75">
      <c r="A90" s="857"/>
      <c r="B90" s="858"/>
      <c r="C90"/>
      <c r="D90" s="961"/>
      <c r="E90" s="961"/>
      <c r="F90" s="962"/>
    </row>
    <row r="91" spans="1:6" ht="12.75">
      <c r="A91" s="861" t="s">
        <v>408</v>
      </c>
      <c r="B91" s="858" t="s">
        <v>376</v>
      </c>
      <c r="C91" s="1043">
        <f>C85</f>
        <v>350000</v>
      </c>
      <c r="D91" s="1074">
        <f>D85</f>
        <v>0</v>
      </c>
      <c r="E91" s="961">
        <v>0</v>
      </c>
      <c r="F91" s="962">
        <v>0</v>
      </c>
    </row>
    <row r="92" spans="1:6" ht="12.75">
      <c r="A92" s="857"/>
      <c r="B92" s="858"/>
      <c r="C92"/>
      <c r="D92" s="961"/>
      <c r="E92" s="961"/>
      <c r="F92" s="962"/>
    </row>
    <row r="93" spans="1:6" ht="12.75">
      <c r="A93" s="857"/>
      <c r="B93" s="858"/>
      <c r="C93" s="875"/>
      <c r="D93" s="869"/>
      <c r="E93" s="869"/>
      <c r="F93" s="870"/>
    </row>
    <row r="94" spans="1:6" ht="12.75">
      <c r="A94" s="1355" t="s">
        <v>409</v>
      </c>
      <c r="B94" s="852"/>
      <c r="C94"/>
      <c r="D94" s="859"/>
      <c r="E94" s="859"/>
      <c r="F94" s="860"/>
    </row>
    <row r="95" spans="1:6" ht="12.75">
      <c r="A95" s="1356"/>
      <c r="B95" s="858"/>
      <c r="C95"/>
      <c r="D95" s="859"/>
      <c r="E95" s="859"/>
      <c r="F95" s="860"/>
    </row>
    <row r="96" spans="1:6" ht="15" thickBot="1">
      <c r="A96" s="873" t="s">
        <v>410</v>
      </c>
      <c r="B96" s="874"/>
      <c r="C96" s="970">
        <f>+C46+C77+C81+C83+C85-C87-C89-C91</f>
        <v>-200000.00000000012</v>
      </c>
      <c r="D96" s="970">
        <f>+D46+D77+D81+D83+D85-D87-D89-D91</f>
        <v>0</v>
      </c>
      <c r="E96" s="970">
        <f>+E46+E77+E81+E83+E85-E87-E89-E91</f>
        <v>0</v>
      </c>
      <c r="F96" s="971">
        <f>+F46+F77+F81+F83+F85-F87-F89-F91</f>
        <v>0</v>
      </c>
    </row>
    <row r="97" ht="13.5" thickTop="1"/>
    <row r="98" spans="1:6" ht="15.75">
      <c r="A98" s="1357" t="s">
        <v>704</v>
      </c>
      <c r="B98" s="1358"/>
      <c r="C98" s="1358"/>
      <c r="D98" s="1358"/>
      <c r="E98" s="1358"/>
      <c r="F98" s="1359"/>
    </row>
    <row r="99" spans="1:6" ht="14.25">
      <c r="A99" s="877" t="s">
        <v>705</v>
      </c>
      <c r="B99" s="878"/>
      <c r="C99" s="1035">
        <f>+C46</f>
        <v>-1.3096723705530167E-10</v>
      </c>
      <c r="D99" s="1035">
        <f>+D46</f>
        <v>0</v>
      </c>
      <c r="E99" s="972">
        <f>+E46</f>
        <v>0</v>
      </c>
      <c r="F99" s="972">
        <f>+F46</f>
        <v>0</v>
      </c>
    </row>
    <row r="100" spans="1:6" ht="14.25">
      <c r="A100" s="879" t="s">
        <v>706</v>
      </c>
      <c r="B100" s="880" t="s">
        <v>376</v>
      </c>
      <c r="C100" s="1036">
        <f>+C34</f>
        <v>37244.89</v>
      </c>
      <c r="D100" s="1036">
        <f>+D34</f>
        <v>0</v>
      </c>
      <c r="E100" s="2"/>
      <c r="F100" s="2"/>
    </row>
    <row r="101" spans="1:6" ht="14.25">
      <c r="A101" s="881" t="s">
        <v>707</v>
      </c>
      <c r="B101" s="882"/>
      <c r="C101" s="973">
        <f>+C99</f>
        <v>-1.3096723705530167E-10</v>
      </c>
      <c r="D101" s="973">
        <f>+D99</f>
        <v>0</v>
      </c>
      <c r="E101" s="973">
        <f>+E99</f>
        <v>0</v>
      </c>
      <c r="F101" s="973">
        <f>+F99</f>
        <v>0</v>
      </c>
    </row>
    <row r="103" spans="1:6" ht="12.75">
      <c r="A103" s="1354" t="s">
        <v>411</v>
      </c>
      <c r="B103" s="1354"/>
      <c r="C103" s="1354"/>
      <c r="D103" s="1354"/>
      <c r="E103" s="1354"/>
      <c r="F103" s="1354"/>
    </row>
    <row r="104" spans="1:6" ht="12.75">
      <c r="A104" s="1354" t="s">
        <v>412</v>
      </c>
      <c r="B104" s="1354"/>
      <c r="C104" s="1354"/>
      <c r="D104" s="1354"/>
      <c r="E104" s="1354"/>
      <c r="F104" s="1354"/>
    </row>
    <row r="105" spans="1:6" ht="12.75">
      <c r="A105" s="1354" t="s">
        <v>413</v>
      </c>
      <c r="B105" s="1354"/>
      <c r="C105" s="1354"/>
      <c r="D105" s="1354"/>
      <c r="E105" s="1354"/>
      <c r="F105" s="1354"/>
    </row>
    <row r="106" spans="1:6" ht="12.75">
      <c r="A106" s="1354" t="s">
        <v>418</v>
      </c>
      <c r="B106" s="1354"/>
      <c r="C106" s="1354"/>
      <c r="D106" s="1354"/>
      <c r="E106" s="1354"/>
      <c r="F106" s="1354"/>
    </row>
    <row r="107" spans="1:6" ht="12.75">
      <c r="A107" s="1354" t="s">
        <v>419</v>
      </c>
      <c r="B107" s="1354"/>
      <c r="C107" s="1354"/>
      <c r="D107" s="1354"/>
      <c r="E107" s="1354"/>
      <c r="F107" s="1354"/>
    </row>
    <row r="108" spans="1:6" ht="12.75">
      <c r="A108" s="1354" t="s">
        <v>420</v>
      </c>
      <c r="B108" s="1354"/>
      <c r="C108" s="1354"/>
      <c r="D108" s="1354"/>
      <c r="E108" s="1354"/>
      <c r="F108" s="1354"/>
    </row>
    <row r="109" spans="1:6" ht="12.75">
      <c r="A109" s="1354" t="s">
        <v>421</v>
      </c>
      <c r="B109" s="1354"/>
      <c r="C109" s="1354"/>
      <c r="D109" s="1354"/>
      <c r="E109" s="1354"/>
      <c r="F109" s="1354"/>
    </row>
    <row r="110" spans="1:6" ht="12.75">
      <c r="A110" s="1354" t="s">
        <v>423</v>
      </c>
      <c r="B110" s="1354"/>
      <c r="C110" s="1354"/>
      <c r="D110" s="1354"/>
      <c r="E110" s="1354"/>
      <c r="F110" s="1354"/>
    </row>
    <row r="111" spans="1:6" ht="12.75">
      <c r="A111" s="1354" t="s">
        <v>708</v>
      </c>
      <c r="B111" s="1354"/>
      <c r="C111" s="1354"/>
      <c r="D111" s="1354"/>
      <c r="E111" s="1354"/>
      <c r="F111" s="1354"/>
    </row>
    <row r="112" spans="1:6" ht="79.5" customHeight="1">
      <c r="A112" s="1354" t="s">
        <v>709</v>
      </c>
      <c r="B112" s="1354"/>
      <c r="C112" s="1354"/>
      <c r="D112" s="1354"/>
      <c r="E112" s="1354"/>
      <c r="F112" s="1354"/>
    </row>
    <row r="113" spans="1:6" ht="12.75">
      <c r="A113" s="1354" t="s">
        <v>710</v>
      </c>
      <c r="B113" s="1354"/>
      <c r="C113" s="1354"/>
      <c r="D113" s="1354"/>
      <c r="E113" s="1354"/>
      <c r="F113" s="1354"/>
    </row>
    <row r="114" spans="1:6" ht="78.75" customHeight="1">
      <c r="A114" s="1354" t="s">
        <v>711</v>
      </c>
      <c r="B114" s="1354"/>
      <c r="C114" s="1354"/>
      <c r="D114" s="1354"/>
      <c r="E114" s="1354"/>
      <c r="F114" s="1354"/>
    </row>
  </sheetData>
  <sheetProtection/>
  <mergeCells count="21">
    <mergeCell ref="A1:F1"/>
    <mergeCell ref="A3:F3"/>
    <mergeCell ref="A4:F4"/>
    <mergeCell ref="A6:B6"/>
    <mergeCell ref="A32:F32"/>
    <mergeCell ref="A44:A45"/>
    <mergeCell ref="A75:A76"/>
    <mergeCell ref="A94:A95"/>
    <mergeCell ref="A98:F98"/>
    <mergeCell ref="A103:F103"/>
    <mergeCell ref="A104:F104"/>
    <mergeCell ref="A105:F105"/>
    <mergeCell ref="A112:F112"/>
    <mergeCell ref="A113:F113"/>
    <mergeCell ref="A114:F114"/>
    <mergeCell ref="A106:F106"/>
    <mergeCell ref="A107:F107"/>
    <mergeCell ref="A108:F108"/>
    <mergeCell ref="A109:F109"/>
    <mergeCell ref="A110:F110"/>
    <mergeCell ref="A111:F1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dc:creator>
  <cp:keywords/>
  <dc:description/>
  <cp:lastModifiedBy>Bruno</cp:lastModifiedBy>
  <cp:lastPrinted>2017-12-01T11:16:38Z</cp:lastPrinted>
  <dcterms:created xsi:type="dcterms:W3CDTF">2002-12-06T16:17:47Z</dcterms:created>
  <dcterms:modified xsi:type="dcterms:W3CDTF">2023-01-17T16:50:08Z</dcterms:modified>
  <cp:category/>
  <cp:version/>
  <cp:contentType/>
  <cp:contentStatus/>
</cp:coreProperties>
</file>